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2YaC6gxotNOLQBhuLGGVXACrn1dlnC/ovqCWbNk/sCLmuqphVCwqtlXBjqDeib0P+8eySx9fKBuQyhZMx4n8pA==" workbookSaltValue="wvFs8tEjGdS5IAawE2Nq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AL10" i="11"/>
  <c r="N10" i="11"/>
  <c r="N9" i="11"/>
  <c r="T10" i="21"/>
  <c r="F10" i="10"/>
  <c r="N11" i="11"/>
  <c r="ES19" i="8"/>
  <c r="C18" i="7"/>
  <c r="S19" i="13"/>
  <c r="AG19" i="19"/>
  <c r="R8" i="9"/>
  <c r="AP16" i="20" s="1"/>
  <c r="CI19" i="8"/>
  <c r="AE19" i="8"/>
  <c r="EP19" i="8"/>
  <c r="ER19" i="13"/>
  <c r="AL13" i="16"/>
  <c r="BH9" i="16"/>
  <c r="BH15" i="16"/>
  <c r="BF16" i="11"/>
  <c r="S13" i="16"/>
  <c r="H18" i="16"/>
  <c r="P13" i="16"/>
  <c r="AN13" i="20"/>
  <c r="F15" i="17"/>
  <c r="Z13" i="17"/>
  <c r="N13" i="2"/>
  <c r="B12" i="6"/>
  <c r="H13" i="12"/>
  <c r="T13" i="12"/>
  <c r="S9" i="17"/>
  <c r="S9" i="14"/>
  <c r="V9" i="14" s="1"/>
  <c r="BI17" i="11"/>
  <c r="BM15" i="11"/>
  <c r="BW9" i="20"/>
  <c r="BV15" i="16"/>
  <c r="BU17" i="17"/>
  <c r="AZ12" i="11"/>
  <c r="S15" i="16"/>
  <c r="BL10" i="11"/>
  <c r="BF15" i="11"/>
  <c r="BL16" i="11"/>
  <c r="AY13"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AJ19" i="8"/>
  <c r="Y19" i="8"/>
  <c r="S19" i="8"/>
  <c r="AW18" i="21"/>
  <c r="AB19" i="8"/>
  <c r="Z19" i="8"/>
  <c r="AC10" i="11"/>
  <c r="B17" i="6"/>
  <c r="M13" i="2"/>
  <c r="M18" i="2"/>
  <c r="N18" i="2"/>
  <c r="L12" i="14"/>
  <c r="AO16" i="11"/>
  <c r="C17" i="6"/>
  <c r="AO9" i="11"/>
  <c r="F9" i="2"/>
  <c r="E11" i="6"/>
  <c r="AL11" i="11"/>
  <c r="H12" i="2"/>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K12" i="7" s="1"/>
  <c r="BE12" i="8"/>
  <c r="I12" i="7" s="1"/>
  <c r="BD15" i="8"/>
  <c r="H15" i="7" s="1"/>
  <c r="BE15" i="8"/>
  <c r="BG16" i="8"/>
  <c r="C10" i="6"/>
  <c r="I10" i="12" s="1"/>
  <c r="L11" i="14"/>
  <c r="E18" i="2"/>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BV13" i="16"/>
  <c r="I17" i="12"/>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G19" i="7" l="1"/>
  <c r="P12" i="11"/>
  <c r="K12" i="12"/>
  <c r="B19" i="7"/>
  <c r="H13" i="2"/>
  <c r="D19" i="5"/>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<sst xmlns="http://schemas.openxmlformats.org/spreadsheetml/2006/main" count="2102" uniqueCount="918">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</sst>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7MdT+FH2SYWLzkv+wc5FVf1yUxuhJgWxPNjPF8yPWpkH2ZUEh9QRKUCKJipZwtbzlISbEutEEZ6rsm55yp3Jw==" saltValue="AmTN2bE6uuuVqDGmUr5y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4</v>
      </c>
      <c r="F10" s="225">
        <f>IF(ISNUMBER(Datos!K10),Datos!K10," - ")</f>
        <v>3</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40.333333333333329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53.930555555555557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801</v>
      </c>
      <c r="D16" s="224">
        <f>IF(ISNUMBER(IF(D_I="SI",Datos!I16,Datos!I16+Datos!AC16)),IF(D_I="SI",Datos!I16,Datos!I16+Datos!AC16)," - ")</f>
        <v>801</v>
      </c>
      <c r="E16" s="225">
        <f>IF(ISNUMBER(IF(D_I="SI",Datos!J16,Datos!J16+Datos!AD16)),IF(D_I="SI",Datos!J16,Datos!J16+Datos!AD16)," - ")</f>
        <v>259</v>
      </c>
      <c r="F16" s="225">
        <f>IF(ISNUMBER(IF(D_I="SI",Datos!K16,Datos!K16+Datos!AE16)),IF(D_I="SI",Datos!K16,Datos!K16+Datos!AE16)," - ")</f>
        <v>277</v>
      </c>
      <c r="G16" s="1033" t="str">
        <f>IF(Datos!E16&lt;&gt;"",Datos!E16,Datos!D16)</f>
        <v>04</v>
      </c>
      <c r="H16" s="226">
        <f>IF(ISNUMBER(IF(D_I="SI",Datos!L16,Datos!L16+Datos!AF16)),IF(D_I="SI",Datos!L16,Datos!L16+Datos!AF16)," - ")</f>
        <v>783</v>
      </c>
      <c r="I16" s="1043" t="str">
        <f>IF(ISNUMBER(Datos!AS16/Datos!BM16),Datos!AS16/Datos!BM16," - ")</f>
        <v xml:space="preserve"> - </v>
      </c>
      <c r="J16" s="1044">
        <f>IF(ISNUMBER(Datos!BY16/Datos!CN16),Datos!BY16/Datos!CN16," - ")</f>
        <v>0</v>
      </c>
      <c r="K16" s="229">
        <f t="shared" si="3"/>
        <v>-2.247191011235955E-2</v>
      </c>
      <c r="L16" s="1024">
        <f>IF(ISNUMBER(NºAsuntos!I16/NºAsuntos!G16),(NºAsuntos!I16/NºAsuntos!G16)*11," - ")</f>
        <v>31.093862815884478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59</v>
      </c>
      <c r="D17" s="224">
        <f>IF(ISNUMBER(IF(D_I="SI",Datos!I17,Datos!I17+Datos!AC17)),IF(D_I="SI",Datos!I17,Datos!I17+Datos!AC17)," - ")</f>
        <v>59</v>
      </c>
      <c r="E17" s="225">
        <f>IF(ISNUMBER(IF(D_I="SI",Datos!J17,Datos!J17+Datos!AD17)),IF(D_I="SI",Datos!J17,Datos!J17+Datos!AD17)," - ")</f>
        <v>38</v>
      </c>
      <c r="F17" s="225">
        <f>IF(ISNUMBER(IF(D_I="SI",Datos!K17,Datos!K17+Datos!AE17)),IF(D_I="SI",Datos!K17,Datos!K17+Datos!AE17)," - ")</f>
        <v>33</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8.4745762711864403E-2</v>
      </c>
      <c r="L17" s="1024">
        <f>IF(ISNUMBER(NºAsuntos!I17/NºAsuntos!G17),(NºAsuntos!I17/NºAsuntos!G17)*11," - ")</f>
        <v>21.333333333333336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860</v>
      </c>
      <c r="D18" s="1048">
        <f>SUBTOTAL(9,D15:D17)</f>
        <v>860</v>
      </c>
      <c r="E18" s="1049">
        <f>SUBTOTAL(9,E15:E17)</f>
        <v>297</v>
      </c>
      <c r="F18" s="1049">
        <f>SUBTOTAL(9,F15:F17)</f>
        <v>310</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870</v>
      </c>
      <c r="D19" s="1070">
        <f>SUBTOTAL(9,D9:D18)</f>
        <v>870</v>
      </c>
      <c r="E19" s="1071">
        <f>SUBTOTAL(9,E9:E18)</f>
        <v>301</v>
      </c>
      <c r="F19" s="1071">
        <f>SUBTOTAL(9,F9:F18)</f>
        <v>313</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1C5A6oSVBqLHHkpL6fX6blNcpWhs/1ZzC1WKPEtKUZO0V6fMPjHFUW5NI+DztCmfjrLj5fLw9kdh6R379f49w==" saltValue="JCANypG8pJsffH5FYDlF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sg34CRqoCvh4rm24ur1bmPxWLMetWholiQ3ZaZKIpeZfCWTY+IVeAy/ZAU2Ct8B6MszT9d70/GPiO6/EsM/Ng==" saltValue="A/tg8Giu7Eh6/rCtd7Mj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4</v>
      </c>
      <c r="K10" s="180">
        <v>3</v>
      </c>
      <c r="L10" s="180">
        <v>11</v>
      </c>
      <c r="M10" s="180">
        <v>1</v>
      </c>
      <c r="N10" s="180">
        <v>1</v>
      </c>
      <c r="O10" s="180">
        <v>0</v>
      </c>
      <c r="P10" s="180">
        <v>1</v>
      </c>
      <c r="Q10" s="180">
        <v>0</v>
      </c>
      <c r="R10" s="180">
        <v>1</v>
      </c>
      <c r="S10" s="180">
        <v>9</v>
      </c>
      <c r="T10" s="180">
        <v>8</v>
      </c>
      <c r="U10" s="180">
        <v>0</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8</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1503</v>
      </c>
      <c r="J12" s="182">
        <v>153</v>
      </c>
      <c r="K12" s="182">
        <v>275</v>
      </c>
      <c r="L12" s="182">
        <v>1381</v>
      </c>
      <c r="M12" s="182">
        <v>60</v>
      </c>
      <c r="N12" s="182">
        <v>130</v>
      </c>
      <c r="O12" s="180">
        <v>100</v>
      </c>
      <c r="P12" s="182">
        <v>118</v>
      </c>
      <c r="Q12" s="182">
        <v>20</v>
      </c>
      <c r="R12" s="182">
        <v>1708</v>
      </c>
      <c r="S12" s="182">
        <v>1160</v>
      </c>
      <c r="T12" s="182">
        <v>312</v>
      </c>
      <c r="U12" s="182">
        <v>222</v>
      </c>
      <c r="V12" s="182">
        <v>1250</v>
      </c>
      <c r="W12" s="182">
        <v>61</v>
      </c>
      <c r="X12" s="188">
        <v>109</v>
      </c>
      <c r="Y12" s="190">
        <v>31</v>
      </c>
      <c r="Z12" s="180">
        <v>13</v>
      </c>
      <c r="AA12" s="180">
        <v>13</v>
      </c>
      <c r="AB12" s="180">
        <v>31</v>
      </c>
      <c r="AC12" s="182">
        <v>0</v>
      </c>
      <c r="AD12" s="182">
        <v>0</v>
      </c>
      <c r="AE12" s="182">
        <v>0</v>
      </c>
      <c r="AF12" s="188">
        <v>0</v>
      </c>
      <c r="AG12" s="201">
        <v>32</v>
      </c>
      <c r="AH12" s="182">
        <v>9</v>
      </c>
      <c r="AI12" s="182">
        <v>9</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1192</v>
      </c>
      <c r="AZ12" s="127">
        <f t="shared" si="1"/>
        <v>321</v>
      </c>
      <c r="BA12" s="127">
        <f t="shared" si="1"/>
        <v>231</v>
      </c>
      <c r="BB12" s="127">
        <f t="shared" si="1"/>
        <v>1282</v>
      </c>
      <c r="BC12" s="125">
        <f>IF(ISNUMBER(X12),X12," - ")</f>
        <v>109</v>
      </c>
      <c r="BD12" s="126">
        <f t="shared" si="2"/>
        <v>0.71962616822429903</v>
      </c>
      <c r="BE12" s="127">
        <f t="shared" si="3"/>
        <v>5.5497835497835499</v>
      </c>
      <c r="BF12" s="127">
        <f t="shared" si="4"/>
        <v>0.47186147186147187</v>
      </c>
      <c r="BG12" s="195">
        <f t="shared" si="5"/>
        <v>6.5497835497835499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1513</v>
      </c>
      <c r="J13" s="183">
        <f t="shared" si="6"/>
        <v>157</v>
      </c>
      <c r="K13" s="183">
        <f t="shared" si="6"/>
        <v>278</v>
      </c>
      <c r="L13" s="183">
        <f t="shared" si="6"/>
        <v>1392</v>
      </c>
      <c r="M13" s="183">
        <f t="shared" si="6"/>
        <v>61</v>
      </c>
      <c r="N13" s="183">
        <f t="shared" si="6"/>
        <v>131</v>
      </c>
      <c r="O13" s="183">
        <f t="shared" si="6"/>
        <v>100</v>
      </c>
      <c r="P13" s="183">
        <f t="shared" si="6"/>
        <v>119</v>
      </c>
      <c r="Q13" s="183">
        <f t="shared" si="6"/>
        <v>20</v>
      </c>
      <c r="R13" s="183">
        <f t="shared" si="6"/>
        <v>1709</v>
      </c>
      <c r="S13" s="183">
        <f t="shared" si="6"/>
        <v>1169</v>
      </c>
      <c r="T13" s="183">
        <f t="shared" si="6"/>
        <v>320</v>
      </c>
      <c r="U13" s="183">
        <f t="shared" si="6"/>
        <v>222</v>
      </c>
      <c r="V13" s="183">
        <f t="shared" si="6"/>
        <v>1267</v>
      </c>
      <c r="W13" s="183">
        <f t="shared" si="6"/>
        <v>61</v>
      </c>
      <c r="X13" s="183">
        <f t="shared" si="6"/>
        <v>109</v>
      </c>
      <c r="Y13" s="183">
        <f t="shared" si="6"/>
        <v>31</v>
      </c>
      <c r="Z13" s="183">
        <f t="shared" si="6"/>
        <v>13</v>
      </c>
      <c r="AA13" s="183">
        <f t="shared" si="6"/>
        <v>13</v>
      </c>
      <c r="AB13" s="183">
        <f t="shared" si="6"/>
        <v>31</v>
      </c>
      <c r="AC13" s="183">
        <f t="shared" si="6"/>
        <v>0</v>
      </c>
      <c r="AD13" s="183">
        <f t="shared" si="6"/>
        <v>0</v>
      </c>
      <c r="AE13" s="183">
        <f t="shared" si="6"/>
        <v>0</v>
      </c>
      <c r="AF13" s="183">
        <f>SUBTOTAL(9,AF9:AF12)</f>
        <v>0</v>
      </c>
      <c r="AG13" s="183">
        <f t="shared" ref="AG13:AT13" si="7">SUBTOTAL(9,AG8:AG12)</f>
        <v>32</v>
      </c>
      <c r="AH13" s="183">
        <f t="shared" si="7"/>
        <v>9</v>
      </c>
      <c r="AI13" s="183">
        <f t="shared" si="7"/>
        <v>9</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1201</v>
      </c>
      <c r="AZ13" s="183">
        <f>SUBTOTAL(9,AZ8:AZ12)</f>
        <v>329</v>
      </c>
      <c r="BA13" s="183">
        <f>SUBTOTAL(9,BA8:BA12)</f>
        <v>231</v>
      </c>
      <c r="BB13" s="183">
        <f>SUBTOTAL(9,BB8:BB12)</f>
        <v>1299</v>
      </c>
      <c r="BC13" s="183">
        <f>SUBTOTAL(9,BC8:BC12)</f>
        <v>109</v>
      </c>
      <c r="BD13" s="204">
        <f>IF(ISNUMBER(BA13/AZ13),BA13/AZ13," - ")</f>
        <v>0.7021276595744681</v>
      </c>
      <c r="BE13" s="205">
        <f>IF(ISNUMBER(BB13/BA13),BB13/BA13, " - ")</f>
        <v>5.6233766233766236</v>
      </c>
      <c r="BF13" s="205">
        <f>IF(ISNUMBER(BC13/BA13),BC13/BA13, " - ")</f>
        <v>0.47186147186147187</v>
      </c>
      <c r="BG13" s="206">
        <f>IF(ISNUMBER((AY13+AZ13)/BA13),(AY13+AZ13)/BA13," - ")</f>
        <v>6.6233766233766236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801</v>
      </c>
      <c r="J16" s="182">
        <v>259</v>
      </c>
      <c r="K16" s="182">
        <v>277</v>
      </c>
      <c r="L16" s="182">
        <v>783</v>
      </c>
      <c r="M16" s="182">
        <v>49</v>
      </c>
      <c r="N16" s="182">
        <v>111</v>
      </c>
      <c r="O16" s="180">
        <v>0</v>
      </c>
      <c r="P16" s="182">
        <v>8</v>
      </c>
      <c r="Q16" s="182">
        <v>0</v>
      </c>
      <c r="R16" s="182">
        <v>53</v>
      </c>
      <c r="S16" s="182">
        <v>554</v>
      </c>
      <c r="T16" s="182">
        <v>388</v>
      </c>
      <c r="U16" s="182">
        <v>295</v>
      </c>
      <c r="V16" s="182">
        <v>647</v>
      </c>
      <c r="W16" s="182">
        <v>49</v>
      </c>
      <c r="X16" s="188">
        <v>143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554</v>
      </c>
      <c r="AZ16" s="127">
        <f t="shared" si="9"/>
        <v>388</v>
      </c>
      <c r="BA16" s="127">
        <f t="shared" si="9"/>
        <v>295</v>
      </c>
      <c r="BB16" s="127">
        <f t="shared" si="9"/>
        <v>647</v>
      </c>
      <c r="BC16" s="125">
        <f>IF(ISNUMBER(W16),W16," - ")</f>
        <v>49</v>
      </c>
      <c r="BD16" s="126">
        <f t="shared" ref="BD16" si="11">IF(ISNUMBER(BA16/AZ16),BA16/AZ16," - ")</f>
        <v>0.76030927835051543</v>
      </c>
      <c r="BE16" s="127">
        <f t="shared" ref="BE16" si="12">IF(ISNUMBER(BB16/BA16),BB16/BA16, " - ")</f>
        <v>2.1932203389830507</v>
      </c>
      <c r="BF16" s="127">
        <f t="shared" ref="BF16" si="13">IF(ISNUMBER(BC16/BA16),BC16/BA16, " - ")</f>
        <v>0.16610169491525423</v>
      </c>
      <c r="BG16" s="195">
        <f t="shared" si="10"/>
        <v>3.1932203389830507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38</v>
      </c>
      <c r="K17" s="182">
        <v>33</v>
      </c>
      <c r="L17" s="182">
        <v>64</v>
      </c>
      <c r="M17" s="182">
        <v>8</v>
      </c>
      <c r="N17" s="182">
        <v>27</v>
      </c>
      <c r="O17" s="182">
        <v>0</v>
      </c>
      <c r="P17" s="182">
        <v>1</v>
      </c>
      <c r="Q17" s="182">
        <v>0</v>
      </c>
      <c r="R17" s="182">
        <v>1</v>
      </c>
      <c r="S17" s="182">
        <v>23</v>
      </c>
      <c r="T17" s="182">
        <v>64</v>
      </c>
      <c r="U17" s="182">
        <v>54</v>
      </c>
      <c r="V17" s="182">
        <v>33</v>
      </c>
      <c r="W17" s="182">
        <v>4</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v>
      </c>
      <c r="AZ17" s="129">
        <f t="shared" si="14"/>
        <v>64</v>
      </c>
      <c r="BA17" s="129">
        <f t="shared" si="14"/>
        <v>54</v>
      </c>
      <c r="BB17" s="129">
        <f t="shared" si="14"/>
        <v>33</v>
      </c>
      <c r="BC17" s="125">
        <f>IF(ISNUMBER(W17),W17," - ")</f>
        <v>4</v>
      </c>
      <c r="BD17" s="126">
        <f>IF(ISNUMBER(BA17/AZ17),BA17/AZ17," - ")</f>
        <v>0.84375</v>
      </c>
      <c r="BE17" s="127">
        <f>IF(ISNUMBER(BB17/BA17),BB17/BA17, " - ")</f>
        <v>0.61111111111111116</v>
      </c>
      <c r="BF17" s="127">
        <f>IF(ISNUMBER(BC17/BA17),BC17/BA17, " - ")</f>
        <v>7.407407407407407E-2</v>
      </c>
      <c r="BG17" s="195">
        <f>IF(ISNUMBER((AY17+AZ17)/BA17),(AY17+AZ17)/BA17," - ")</f>
        <v>1.6111111111111112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860</v>
      </c>
      <c r="J18" s="183">
        <f t="shared" si="15"/>
        <v>297</v>
      </c>
      <c r="K18" s="183">
        <f t="shared" si="15"/>
        <v>310</v>
      </c>
      <c r="L18" s="183">
        <f t="shared" si="15"/>
        <v>847</v>
      </c>
      <c r="M18" s="183">
        <f t="shared" si="15"/>
        <v>57</v>
      </c>
      <c r="N18" s="183">
        <f t="shared" si="15"/>
        <v>138</v>
      </c>
      <c r="O18" s="183">
        <f t="shared" si="15"/>
        <v>0</v>
      </c>
      <c r="P18" s="183">
        <f t="shared" si="15"/>
        <v>9</v>
      </c>
      <c r="Q18" s="183">
        <f t="shared" si="15"/>
        <v>0</v>
      </c>
      <c r="R18" s="183">
        <f t="shared" si="15"/>
        <v>54</v>
      </c>
      <c r="S18" s="183">
        <f t="shared" si="15"/>
        <v>577</v>
      </c>
      <c r="T18" s="183">
        <f t="shared" si="15"/>
        <v>452</v>
      </c>
      <c r="U18" s="183">
        <f t="shared" si="15"/>
        <v>349</v>
      </c>
      <c r="V18" s="183">
        <f t="shared" si="15"/>
        <v>680</v>
      </c>
      <c r="W18" s="183">
        <f t="shared" si="15"/>
        <v>53</v>
      </c>
      <c r="X18" s="183">
        <f t="shared" si="15"/>
        <v>174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577</v>
      </c>
      <c r="AZ18" s="183">
        <f>SUBTOTAL(9,AZ14:AZ17)</f>
        <v>452</v>
      </c>
      <c r="BA18" s="183">
        <f>SUBTOTAL(9,BA14:BA17)</f>
        <v>349</v>
      </c>
      <c r="BB18" s="183">
        <f>SUBTOTAL(9,BB14:BB17)</f>
        <v>680</v>
      </c>
      <c r="BC18" s="183">
        <f>SUBTOTAL(9,BC14:BC17)</f>
        <v>53</v>
      </c>
      <c r="BD18" s="204">
        <f>IF(ISNUMBER(BA18/AZ18),BA18/AZ18," - ")</f>
        <v>0.77212389380530977</v>
      </c>
      <c r="BE18" s="205">
        <f>IF(ISNUMBER(BB18/BA18),BB18/BA18, " - ")</f>
        <v>1.9484240687679084</v>
      </c>
      <c r="BF18" s="205">
        <f>IF(ISNUMBER(BC18/BA18),BC18/BA18, " - ")</f>
        <v>0.15186246418338109</v>
      </c>
      <c r="BG18" s="206">
        <f>IF(ISNUMBER((AY18+AZ18)/BA18),(AY18+AZ18)/BA18," - ")</f>
        <v>2.9484240687679084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2373</v>
      </c>
      <c r="J19" s="134">
        <f t="shared" si="18"/>
        <v>454</v>
      </c>
      <c r="K19" s="134">
        <f t="shared" si="18"/>
        <v>588</v>
      </c>
      <c r="L19" s="134">
        <f t="shared" si="18"/>
        <v>2239</v>
      </c>
      <c r="M19" s="134">
        <f t="shared" si="18"/>
        <v>118</v>
      </c>
      <c r="N19" s="134">
        <f t="shared" si="18"/>
        <v>269</v>
      </c>
      <c r="O19" s="134">
        <f t="shared" si="18"/>
        <v>100</v>
      </c>
      <c r="P19" s="134">
        <f t="shared" si="18"/>
        <v>128</v>
      </c>
      <c r="Q19" s="134">
        <f t="shared" si="18"/>
        <v>20</v>
      </c>
      <c r="R19" s="134">
        <f t="shared" si="18"/>
        <v>1763</v>
      </c>
      <c r="S19" s="134">
        <f t="shared" si="18"/>
        <v>1746</v>
      </c>
      <c r="T19" s="134">
        <f t="shared" si="18"/>
        <v>772</v>
      </c>
      <c r="U19" s="134">
        <f t="shared" si="18"/>
        <v>571</v>
      </c>
      <c r="V19" s="134">
        <f t="shared" si="18"/>
        <v>1947</v>
      </c>
      <c r="W19" s="134">
        <f t="shared" si="18"/>
        <v>114</v>
      </c>
      <c r="X19" s="134">
        <f t="shared" si="18"/>
        <v>283</v>
      </c>
      <c r="Y19" s="134">
        <f t="shared" si="18"/>
        <v>31</v>
      </c>
      <c r="Z19" s="134">
        <f t="shared" si="18"/>
        <v>13</v>
      </c>
      <c r="AA19" s="134">
        <f t="shared" si="18"/>
        <v>13</v>
      </c>
      <c r="AB19" s="134">
        <f t="shared" si="18"/>
        <v>31</v>
      </c>
      <c r="AC19" s="134">
        <f t="shared" si="18"/>
        <v>0</v>
      </c>
      <c r="AD19" s="134">
        <f t="shared" si="18"/>
        <v>0</v>
      </c>
      <c r="AE19" s="134">
        <f t="shared" si="18"/>
        <v>0</v>
      </c>
      <c r="AF19" s="134">
        <f t="shared" si="18"/>
        <v>0</v>
      </c>
      <c r="AG19" s="134">
        <f t="shared" si="18"/>
        <v>32</v>
      </c>
      <c r="AH19" s="134">
        <f t="shared" si="18"/>
        <v>9</v>
      </c>
      <c r="AI19" s="134">
        <f t="shared" si="18"/>
        <v>9</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1778</v>
      </c>
      <c r="AZ19" s="134">
        <f>SUBTOTAL(9,AZ9:AZ18)</f>
        <v>781</v>
      </c>
      <c r="BA19" s="134">
        <f>SUBTOTAL(9,BA9:BA18)</f>
        <v>580</v>
      </c>
      <c r="BB19" s="134">
        <f>SUBTOTAL(9,BB9:BB18)</f>
        <v>1979</v>
      </c>
      <c r="BC19" s="135">
        <f>SUBTOTAL(9,BC9:BC18)</f>
        <v>162</v>
      </c>
      <c r="BD19" s="212">
        <f>IF(ISNUMBER(BA19/AZ19),BA19/AZ19," - ")</f>
        <v>0.74263764404609478</v>
      </c>
      <c r="BE19" s="209">
        <f>IF(ISNUMBER(BB19/BA19),BB19/BA19, " - ")</f>
        <v>3.4120689655172414</v>
      </c>
      <c r="BF19" s="209">
        <f>IF(ISNUMBER(BC19/BA19),BC19/BA19, " - ")</f>
        <v>0.27931034482758621</v>
      </c>
      <c r="BG19" s="135">
        <f>IF(ISNUMBER((AY19+AZ19)/BA19),(AY19+AZ19)/BA19," - ")</f>
        <v>4.4120689655172418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OwBJP0AxfTIeVoQ41dGtpMpQPcLezkSk2fYFkjkfjNQBzI4GKsM+9QrR/CmyL3EBGKZmTwAKOSNVVuJKwx2g==" saltValue="ho5vo9JBAVZVKq7AM+LL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4u/NEabC5eWH8xIqlAq+DHQdRimoJHJYOvWVNIvdGZ4HfTeGYGsV41f7yIiSRS3XozqRPHT0TsofqIp601nQ==" saltValue="Pumx2NOtMRfZXI+9hu/A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ROTA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11</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7.3333333333333321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1708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130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1.7349397590361446</v>
      </c>
      <c r="BH12" s="259">
        <f>IF(ISNUMBER(((IF(J_V="SI",Datos!L12/Datos!K12,(Datos!L12+Datos!AB12)/(Datos!K12+Datos!AA12)))*11)/factor_trimestre),((IF(J_V="SI",Datos!L12/Datos!K12,(Datos!L12+Datos!AB12)/(Datos!K12+Datos!AA12)))*11)/factor_trimestre," - ")</f>
        <v>9.8055555555555554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6.0869565217391307E-2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20</v>
      </c>
      <c r="AD13" s="898">
        <f t="shared" si="1"/>
        <v>0</v>
      </c>
      <c r="AE13" s="898">
        <f t="shared" si="1"/>
        <v>0</v>
      </c>
      <c r="AF13" s="898">
        <f t="shared" si="1"/>
        <v>11</v>
      </c>
      <c r="AG13" s="898">
        <f t="shared" si="1"/>
        <v>0</v>
      </c>
      <c r="AH13" s="898">
        <f t="shared" si="1"/>
        <v>31</v>
      </c>
      <c r="AI13" s="898">
        <f t="shared" si="1"/>
        <v>0</v>
      </c>
      <c r="AJ13" s="898">
        <f t="shared" si="1"/>
        <v>0</v>
      </c>
      <c r="AK13" s="898">
        <f t="shared" si="1"/>
        <v>0</v>
      </c>
      <c r="AL13" s="898">
        <f t="shared" si="1"/>
        <v>0</v>
      </c>
      <c r="AM13" s="898">
        <f t="shared" si="1"/>
        <v>1709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v>
      </c>
      <c r="BD13" s="898">
        <f t="shared" si="1"/>
        <v>131</v>
      </c>
      <c r="BE13" s="898">
        <f t="shared" si="1"/>
        <v>0</v>
      </c>
      <c r="BF13" s="898">
        <f t="shared" si="1"/>
        <v>0</v>
      </c>
      <c r="BG13" s="898">
        <f>IF(ISNUMBER(Datos!K13/Datos!J13),Datos!K13/Datos!J13," - ")</f>
        <v>1.7707006369426752</v>
      </c>
      <c r="BH13" s="902">
        <f>IF(ISNUMBER(((Datos!L13/Datos!K13)*11)/factor_trimestre),((Datos!L13/Datos!K13)*11)/factor_trimestre," - ")</f>
        <v>10.014388489208633</v>
      </c>
      <c r="BI13" s="898">
        <f>IF(ISNUMBER('Resol  Asuntos'!D13/NºAsuntos!G13),'Resol  Asuntos'!D13/NºAsuntos!G13," - ")</f>
        <v>0.20962199312714777</v>
      </c>
      <c r="BJ13" s="898" t="str">
        <f>IF(ISNUMBER(Datos!CI13/Datos!CJ13),Datos!CI13/Datos!CJ13," - ")</f>
        <v xml:space="preserve"> - </v>
      </c>
      <c r="BK13" s="898">
        <f>SUBTOTAL(9,BK8:BK12)</f>
        <v>0</v>
      </c>
      <c r="BL13" s="898">
        <f>IF(ISNUMBER((I13-AB13+L13)/(F13)),(I13-AB13+L13)/(F13)," - ")</f>
        <v>-0.3</v>
      </c>
      <c r="BM13" s="903">
        <f>SUBTOTAL(9,BM9:BM12)</f>
        <v>6.0869565217391307E-2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801</v>
      </c>
      <c r="G16" s="597">
        <f>IF(ISNUMBER(IF(D_I="SI",Datos!I16,Datos!I16+Datos!AC16)),IF(D_I="SI",Datos!I16,Datos!I16+Datos!AC16)," - ")</f>
        <v>801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277</v>
      </c>
      <c r="AC16" s="225">
        <f>IF(ISNUMBER(Datos!Q16),Datos!Q16," - ")</f>
        <v>0</v>
      </c>
      <c r="AD16" s="333"/>
      <c r="AE16" s="483"/>
      <c r="AF16" s="595">
        <f>IF(ISNUMBER(IF(D_I="SI",Datos!L16,Datos!L16+Datos!AF16)),IF(D_I="SI",Datos!L16,Datos!L16+Datos!AF16)," - ")</f>
        <v>783</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111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1.0694980694980696</v>
      </c>
      <c r="BH16" s="259">
        <f>IF(ISNUMBER(((IF(D_I="SI",Datos!L16/Datos!K16,(Datos!L16+Datos!AF16)/(Datos!K16+Datos!AE16)))*11)/factor_trimestre),((IF(D_I="SI",Datos!L16/Datos!K16,(Datos!L16+Datos!AF16)/(Datos!K16+Datos!AE16)))*11)/factor_trimestre," - ")</f>
        <v>5.653429602888087</v>
      </c>
      <c r="BI16" s="242">
        <f>IF(ISNUMBER('Resol  Asuntos'!D16/NºAsuntos!G16),'Resol  Asuntos'!D16/NºAsuntos!G16," - ")</f>
        <v>0.17689530685920576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64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0.86842105263157898</v>
      </c>
      <c r="BH17" s="259">
        <f>IF(ISNUMBER(((IF(D_I="SI",Datos!L17/Datos!K17,(Datos!L17+Datos!AF17)/(Datos!K17+Datos!AE17)))*11)/factor_trimestre),((IF(D_I="SI",Datos!L17/Datos!K17,(Datos!L17+Datos!AF17)/(Datos!K17+Datos!AE17)))*11)/factor_trimestre," - ")</f>
        <v>3.8787878787878793</v>
      </c>
      <c r="BI17" s="242">
        <f>IF(ISNUMBER('Resol  Asuntos'!D17/NºAsuntos!G17),'Resol  Asuntos'!D17/NºAsuntos!G17," - ")</f>
        <v>0.24242424242424243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801</v>
      </c>
      <c r="G18" s="897">
        <f>SUBTOTAL(9,G15:G17)</f>
        <v>860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310</v>
      </c>
      <c r="AC18" s="898">
        <f t="shared" si="4"/>
        <v>0</v>
      </c>
      <c r="AD18" s="898">
        <f t="shared" si="4"/>
        <v>0</v>
      </c>
      <c r="AE18" s="898">
        <f t="shared" si="4"/>
        <v>0</v>
      </c>
      <c r="AF18" s="898">
        <f t="shared" si="4"/>
        <v>847</v>
      </c>
      <c r="AG18" s="898">
        <f t="shared" si="4"/>
        <v>0</v>
      </c>
      <c r="AH18" s="898">
        <f t="shared" si="4"/>
        <v>0</v>
      </c>
      <c r="AI18" s="898">
        <f t="shared" si="4"/>
        <v>0</v>
      </c>
      <c r="AJ18" s="898">
        <f t="shared" si="4"/>
        <v>0</v>
      </c>
      <c r="AK18" s="898">
        <f t="shared" si="4"/>
        <v>0</v>
      </c>
      <c r="AL18" s="898">
        <f t="shared" si="4"/>
        <v>0</v>
      </c>
      <c r="AM18" s="898">
        <f t="shared" si="4"/>
        <v>54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v>
      </c>
      <c r="BD18" s="898">
        <f t="shared" si="4"/>
        <v>138</v>
      </c>
      <c r="BE18" s="898">
        <f t="shared" si="4"/>
        <v>0</v>
      </c>
      <c r="BF18" s="898">
        <f t="shared" si="4"/>
        <v>0</v>
      </c>
      <c r="BG18" s="898">
        <f>IF(ISNUMBER(Datos!K18/Datos!J18),Datos!K18/Datos!J18," - ")</f>
        <v>1.0437710437710437</v>
      </c>
      <c r="BH18" s="902">
        <f>IF(ISNUMBER(((Datos!L18/Datos!K18)*11)/factor_trimestre),((Datos!L18/Datos!K18)*11)/factor_trimestre," - ")</f>
        <v>5.4645161290322584</v>
      </c>
      <c r="BI18" s="898">
        <f>SUBTOTAL(9,BI15:BI17)</f>
        <v>0.41931954928344817</v>
      </c>
      <c r="BJ18" s="898">
        <f>SUBTOTAL(9,BJ15:BJ17)</f>
        <v>0</v>
      </c>
      <c r="BK18" s="898">
        <f>SUBTOTAL(9,BK15:BK17)</f>
        <v>0</v>
      </c>
      <c r="BL18" s="898">
        <f>IF(ISNUMBER((I18-AB18+L18)/(F18)),(I18-AB18+L18)/(F18)," - ")</f>
        <v>-0.38701622971285893</v>
      </c>
      <c r="BM18" s="904">
        <f>IF(ISNUMBER((Datos!P18-Datos!Q18)/(Datos!R18-Datos!P18+Datos!Q18)),(Datos!P18-Datos!Q18)/(Datos!R18-Datos!P18+Datos!Q18)," - ")</f>
        <v>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811</v>
      </c>
      <c r="G19" s="819">
        <f t="shared" si="6"/>
        <v>870</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128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313</v>
      </c>
      <c r="AC19" s="820">
        <f t="shared" si="7"/>
        <v>20</v>
      </c>
      <c r="AD19" s="820">
        <f t="shared" si="7"/>
        <v>0</v>
      </c>
      <c r="AE19" s="820">
        <f t="shared" si="7"/>
        <v>0</v>
      </c>
      <c r="AF19" s="827">
        <f t="shared" si="7"/>
        <v>858</v>
      </c>
      <c r="AG19" s="827">
        <f t="shared" si="7"/>
        <v>0</v>
      </c>
      <c r="AH19" s="827">
        <f t="shared" si="7"/>
        <v>31</v>
      </c>
      <c r="AI19" s="827">
        <f t="shared" si="7"/>
        <v>0</v>
      </c>
      <c r="AJ19" s="820">
        <f t="shared" si="7"/>
        <v>0</v>
      </c>
      <c r="AK19" s="827">
        <f t="shared" si="7"/>
        <v>0</v>
      </c>
      <c r="AL19" s="827">
        <f t="shared" si="7"/>
        <v>0</v>
      </c>
      <c r="AM19" s="827">
        <f t="shared" si="7"/>
        <v>1763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118</v>
      </c>
      <c r="BD19" s="819">
        <f t="shared" si="7"/>
        <v>269</v>
      </c>
      <c r="BE19" s="819">
        <f t="shared" si="7"/>
        <v>0</v>
      </c>
      <c r="BF19" s="829">
        <f t="shared" si="7"/>
        <v>0</v>
      </c>
      <c r="BG19" s="914">
        <f>IF(ISNUMBER(Datos!K19/Datos!J19),Datos!K19/Datos!J19," - ")</f>
        <v>1.2951541850220265</v>
      </c>
      <c r="BH19" s="914">
        <f>IF(ISNUMBER(((Datos!L19/Datos!K19)*11)/factor_trimestre),((Datos!L19/Datos!K19)*11)/factor_trimestre," - ")</f>
        <v>7.6156462585034026</v>
      </c>
      <c r="BI19" s="812">
        <f>IF(ISNUMBER(Datos!J19/Datos!I19),Datos!J19/Datos!I19," - ")</f>
        <v>0.19131900547829753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-0.38594327990135635</v>
      </c>
      <c r="BM19" s="888">
        <f>IF(ISNUMBER((Datos!P19-Datos!Q19+R19)/(Datos!R19-Datos!P19+Datos!Q19-R19)),(Datos!P19-Datos!Q19+R19)/(Datos!R19-Datos!P19+Datos!Q19-R19)," - ")</f>
        <v>6.5256797583081574E-2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456.68406292899397</v>
      </c>
      <c r="G21" s="551">
        <f>IF(ISNUMBER(STDEV(G8:G18)),STDEV(G8:G18),"-")</f>
        <v>441.40740818432124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154.56454962247975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27.398296784046025</v>
      </c>
      <c r="BD21" s="550"/>
      <c r="BE21" s="550">
        <f>IF(ISNUMBER(STDEV(BE8:BE18)),STDEV(BE8:BE18),"-")</f>
        <v>0</v>
      </c>
      <c r="BF21" s="555">
        <f>IF(ISNUMBER(STDEV(BF8:BF18)),STDEV(BF8:BF18),"-")</f>
        <v>0</v>
      </c>
      <c r="BG21" s="774">
        <f>IF(ISNUMBER(STDEV(BG8:BG18)),STDEV(BG8:BG18),"-")</f>
        <v>0.43943380388020237</v>
      </c>
      <c r="BH21" s="775">
        <f>IF(ISNUMBER(STDEV(BH8:BH18)),STDEV(BH8:BH18),"-")</f>
        <v>2.4890949422958748</v>
      </c>
      <c r="BI21" s="248">
        <f>IF(ISNUMBER(STDEV(BI8:BI18)),STDEV(BI8:BI18),"-")</f>
        <v>0.10819565337503978</v>
      </c>
      <c r="BJ21" s="229" t="str">
        <f>IF(ISNUMBER(BL21/BM21),BL21/BM21," - ")</f>
        <v xml:space="preserve"> - </v>
      </c>
      <c r="BK21" s="574"/>
      <c r="BL21" s="558">
        <f>IF(ISNUMBER(STDEV(BL8:BL18)),STDEV(BL8:BL18),"-")</f>
        <v>6.1529766103248958E-2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6Ok3qKw3W4cvcT31cc6z+st8GqADf576AqaGNEa+ZaScyxDdoKciITS5WJ6e9AJ/qzHypFItUGi1MOfyzSV9Tg==" saltValue="hqwKHAbSz+LW0uLRG86f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ROTA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7.3333333333333321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1708</v>
      </c>
      <c r="AF12" s="228" t="str">
        <f>IF(ISNUMBER(Datos!BV12),Datos!BV12," - ")</f>
        <v xml:space="preserve"> - </v>
      </c>
      <c r="AG12" s="224" t="str">
        <f>IF(ISNUMBER(Datos!DV12),Datos!DV12," - ")</f>
        <v xml:space="preserve"> - </v>
      </c>
      <c r="AH12" s="297"/>
      <c r="AI12" s="226"/>
      <c r="AJ12" s="224">
        <f>IF(ISNUMBER(Datos!M12),Datos!M12," - ")</f>
        <v>60</v>
      </c>
      <c r="AK12" s="228">
        <f>IF(ISNUMBER(Datos!N12),Datos!N12," - ")</f>
        <v>130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9.8055555555555554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6.0869565217391307E-2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119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20</v>
      </c>
      <c r="AA13" s="899">
        <f t="shared" si="2"/>
        <v>11</v>
      </c>
      <c r="AB13" s="899">
        <f t="shared" si="2"/>
        <v>0</v>
      </c>
      <c r="AC13" s="899">
        <f t="shared" si="2"/>
        <v>0</v>
      </c>
      <c r="AD13" s="899">
        <f t="shared" si="2"/>
        <v>0</v>
      </c>
      <c r="AE13" s="899">
        <f t="shared" si="2"/>
        <v>1709</v>
      </c>
      <c r="AF13" s="907">
        <f t="shared" si="2"/>
        <v>0</v>
      </c>
      <c r="AG13" s="907">
        <f t="shared" si="2"/>
        <v>0</v>
      </c>
      <c r="AH13" s="907">
        <f t="shared" si="2"/>
        <v>0</v>
      </c>
      <c r="AI13" s="907">
        <f t="shared" si="2"/>
        <v>0</v>
      </c>
      <c r="AJ13" s="907">
        <f t="shared" si="2"/>
        <v>61</v>
      </c>
      <c r="AK13" s="907">
        <f t="shared" si="2"/>
        <v>131</v>
      </c>
      <c r="AL13" s="907">
        <f t="shared" si="2"/>
        <v>0</v>
      </c>
      <c r="AM13" s="907">
        <f t="shared" si="2"/>
        <v>0</v>
      </c>
      <c r="AN13" s="907">
        <f t="shared" si="2"/>
        <v>0</v>
      </c>
      <c r="AO13" s="903">
        <f>IF(ISNUMBER(((NºAsuntos!I13/NºAsuntos!G13)*11)/factor_trimestre),((NºAsuntos!I13/NºAsuntos!G13)*11)/factor_trimestre," - ")</f>
        <v>9.7800687285223376</v>
      </c>
      <c r="AP13" s="909" t="str">
        <f>IF(ISNUMBER(Datos!CI13/Datos!CJ13),Datos!CI13/Datos!CJ13," - ")</f>
        <v xml:space="preserve"> - </v>
      </c>
      <c r="AQ13" s="927">
        <f t="shared" ref="AQ13:AV13" si="3">SUBTOTAL(9,AQ9:AQ12)</f>
        <v>0</v>
      </c>
      <c r="AR13" s="927">
        <f t="shared" si="3"/>
        <v>6.0869565217391307E-2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801</v>
      </c>
      <c r="G16" s="224">
        <f>IF(ISNUMBER(IF(D_I="SI",Datos!I16,Datos!I16+Datos!AC16)),IF(D_I="SI",Datos!I16,Datos!I16+Datos!AC16)," - ")</f>
        <v>801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277</v>
      </c>
      <c r="Z16" s="618">
        <f>IF(ISNUMBER(Datos!Q16),Datos!Q16," - ")</f>
        <v>0</v>
      </c>
      <c r="AA16" s="331">
        <f>IF(ISNUMBER(IF(D_I="SI",Datos!L16,Datos!L16+Datos!AF16)),IF(D_I="SI",Datos!L16,Datos!L16+Datos!AF16)," - ")</f>
        <v>783</v>
      </c>
      <c r="AB16" s="333"/>
      <c r="AC16" s="333"/>
      <c r="AD16" s="483"/>
      <c r="AE16" s="483">
        <f>IF(ISNUMBER(Datos!R16),Datos!R16," - ")</f>
        <v>53</v>
      </c>
      <c r="AF16" s="228" t="str">
        <f>IF(ISNUMBER(Datos!BV16),Datos!BV16," - ")</f>
        <v xml:space="preserve"> - </v>
      </c>
      <c r="AG16" s="224"/>
      <c r="AH16" s="297"/>
      <c r="AI16" s="226"/>
      <c r="AJ16" s="224">
        <f>IF(ISNUMBER(Datos!M16),Datos!M16," - ")</f>
        <v>49</v>
      </c>
      <c r="AK16" s="228">
        <f>IF(ISNUMBER(Datos!N16),Datos!N16," - ")</f>
        <v>111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5.653429602888087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64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8</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3.8787878787878793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801</v>
      </c>
      <c r="G18" s="897">
        <f>SUBTOTAL(9,G15:G17)</f>
        <v>860</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310</v>
      </c>
      <c r="Z18" s="931">
        <f t="shared" si="5"/>
        <v>0</v>
      </c>
      <c r="AA18" s="931">
        <f t="shared" si="5"/>
        <v>847</v>
      </c>
      <c r="AB18" s="931">
        <f t="shared" si="5"/>
        <v>0</v>
      </c>
      <c r="AC18" s="931">
        <f t="shared" si="5"/>
        <v>0</v>
      </c>
      <c r="AD18" s="931">
        <f t="shared" si="5"/>
        <v>0</v>
      </c>
      <c r="AE18" s="931">
        <f t="shared" si="5"/>
        <v>54</v>
      </c>
      <c r="AF18" s="931">
        <f t="shared" si="5"/>
        <v>0</v>
      </c>
      <c r="AG18" s="931">
        <f t="shared" si="5"/>
        <v>0</v>
      </c>
      <c r="AH18" s="931">
        <f t="shared" si="5"/>
        <v>0</v>
      </c>
      <c r="AI18" s="931">
        <f t="shared" si="5"/>
        <v>0</v>
      </c>
      <c r="AJ18" s="931">
        <f t="shared" si="5"/>
        <v>57</v>
      </c>
      <c r="AK18" s="931">
        <f t="shared" si="5"/>
        <v>138</v>
      </c>
      <c r="AL18" s="931">
        <f t="shared" si="5"/>
        <v>0</v>
      </c>
      <c r="AM18" s="931">
        <f t="shared" si="5"/>
        <v>0</v>
      </c>
      <c r="AN18" s="931">
        <f t="shared" si="5"/>
        <v>0</v>
      </c>
      <c r="AO18" s="933">
        <f>IF(ISNUMBER(((NºAsuntos!I18/NºAsuntos!G18)*11)/factor_trimestre),((NºAsuntos!I18/NºAsuntos!G18)*11)/factor_trimestre," - ")</f>
        <v>5.4645161290322584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811</v>
      </c>
      <c r="G19" s="819">
        <f t="shared" si="7"/>
        <v>870</v>
      </c>
      <c r="H19" s="820">
        <f t="shared" si="7"/>
        <v>0</v>
      </c>
      <c r="I19" s="819">
        <f t="shared" si="7"/>
        <v>0</v>
      </c>
      <c r="J19" s="821">
        <f t="shared" si="7"/>
        <v>0</v>
      </c>
      <c r="K19" s="819">
        <f t="shared" si="7"/>
        <v>0</v>
      </c>
      <c r="L19" s="822">
        <f t="shared" si="7"/>
        <v>0</v>
      </c>
      <c r="M19" s="819">
        <f t="shared" si="7"/>
        <v>0</v>
      </c>
      <c r="N19" s="820">
        <f t="shared" si="7"/>
        <v>128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313</v>
      </c>
      <c r="Z19" s="826">
        <f t="shared" si="8"/>
        <v>20</v>
      </c>
      <c r="AA19" s="827">
        <f t="shared" si="8"/>
        <v>858</v>
      </c>
      <c r="AB19" s="827">
        <f t="shared" si="8"/>
        <v>0</v>
      </c>
      <c r="AC19" s="827">
        <f t="shared" si="8"/>
        <v>0</v>
      </c>
      <c r="AD19" s="828">
        <f t="shared" si="8"/>
        <v>0</v>
      </c>
      <c r="AE19" s="828">
        <f t="shared" si="8"/>
        <v>1763</v>
      </c>
      <c r="AF19" s="829">
        <f t="shared" si="8"/>
        <v>0</v>
      </c>
      <c r="AG19" s="830">
        <f t="shared" si="8"/>
        <v>0</v>
      </c>
      <c r="AH19" s="831">
        <f t="shared" si="8"/>
        <v>0</v>
      </c>
      <c r="AI19" s="829">
        <f t="shared" si="8"/>
        <v>0</v>
      </c>
      <c r="AJ19" s="819">
        <f t="shared" si="8"/>
        <v>118</v>
      </c>
      <c r="AK19" s="819">
        <f t="shared" si="8"/>
        <v>269</v>
      </c>
      <c r="AL19" s="819">
        <f t="shared" si="8"/>
        <v>0</v>
      </c>
      <c r="AM19" s="832">
        <f t="shared" si="8"/>
        <v>0</v>
      </c>
      <c r="AN19" s="822">
        <f>IF(ISNUMBER(Datos!K19/Datos!J19),Datos!K19/Datos!J19," - ")</f>
        <v>1.2951541850220265</v>
      </c>
      <c r="AO19" s="822">
        <f>IF(ISNUMBER(FIND("06",Criterios!A8,1)),(IF(ISNUMBER(((Datos!R19/Datos!Q19)*11)/factor_trimestre),((Datos!R19/Datos!Q19)*11)/factor_trimestre," - ")),(IF(ISNUMBER(((Datos!L19/Datos!K19)*11)/factor_trimestre),((Datos!L19/Datos!K19)*11)/factor_trimestre," - ")))</f>
        <v>7.6156462585034026</v>
      </c>
      <c r="AP19" s="833" t="str">
        <f>IF(ISNUMBER(Datos!CI19/Datos!CJ19),Datos!CI19/Datos!CJ19," - ")</f>
        <v xml:space="preserve"> - </v>
      </c>
      <c r="AQ19" s="833">
        <f>IF(OR(ISNUMBER(FIND("01",Criterios!A8,1)),ISNUMBER(FIND("02",Criterios!A8,1)),ISNUMBER(FIND("03",Criterios!A8,1)),ISNUMBER(FIND("04",Criterios!A8,1))),(J19-Y19+K19)/(F19-K19),(I19-Y19+K19)/(F19-K19))</f>
        <v>-0.38594327990135635</v>
      </c>
      <c r="AR19" s="833">
        <f>IF(ISNUMBER((Datos!P19-Datos!Q19+O19)/(Datos!R19-Datos!P19+Datos!Q19-O19)),(Datos!P19-Datos!Q19+O19)/(Datos!R19-Datos!P19+Datos!Q19-O19)," - ")</f>
        <v>6.5256797583081574E-2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456.68406292899397</v>
      </c>
      <c r="G21" s="551">
        <f>IF(ISNUMBER(STDEV(G8:G18)),STDEV(G8:G18),"-")</f>
        <v>441.40740818432124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27.398296784046025</v>
      </c>
      <c r="AK21" s="251"/>
      <c r="AL21" s="251">
        <f>IF(ISNUMBER(STDEV(AL8:AL18)),STDEV(AL8:AL18),"-")</f>
        <v>0</v>
      </c>
      <c r="AM21" s="253">
        <f>IF(ISNUMBER(STDEV(AM8:AM18)),STDEV(AM8:AM18),"-")</f>
        <v>0</v>
      </c>
      <c r="AN21" s="538">
        <f>IF(ISNUMBER(STDEV(AN8:AN18)),STDEV(AN8:AN18),"-")</f>
        <v>0</v>
      </c>
      <c r="AO21" s="539">
        <f>IF(ISNUMBER(STDEV(AO8:AO18)),STDEV(AO8:AO18),"-")</f>
        <v>2.4340410110845077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zWPyZ4TartjYZdC0dphE1rR9LR1zIhZZ3Nczt3otdnFsGXGiIMAcvq8Q5U5SPej//gE40Z+ofXGbQTH9LCbrg==" saltValue="dKeHyt6/nM+npitaFBDZ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qlrlIUnXHd+uOx5QTV42KDlRgP8XHF3GLI43pCjBHKsNeJnwqReY7a2M6PIyRF9+QnRXDWUSJ+49wKQwyVZQg==" saltValue="2qbCJVFg/pcFDjLe4OrI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t8JaxDsz1v4dWmtJuzR0jLRmt2xWNA9NpympLBZkl78Az4YOMPmV7Cw6xM4xebVSMRjMG7Olu1iEEFiRg6PdQ==" saltValue="DksR5UHY2aYjALpj79aU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ROTA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0.20962199312714777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0.14822513282604605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WKj/dMTwjFb5tpjneLdQSfRYKd48uNt7zscD0MGzkZ5lAXavyvCQd2BO7rrRdueVYFOXm5rw+iTB9eF4K/n4w==" saltValue="fM51av4SXA05+V3GUjLF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yx76X42LX2oXIrc53j9FeAcqPKAqGDv7nQ+lGCWghZ1S0ECVOyqudDKjNzuCMa62Pt7gwWyih1BL7NRVrsFpg==" saltValue="p1XMqNGy+d8swfIFmmoM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ROTA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4</v>
      </c>
      <c r="F10" s="403">
        <f>IF(ISNUMBER(E10/B10),E10/B10," - ")</f>
        <v>4</v>
      </c>
      <c r="G10" s="402">
        <f>IF(ISNUMBER(Datos!K10),Datos!K10," - ")</f>
        <v>3</v>
      </c>
      <c r="H10" s="403">
        <f>IF(ISNUMBER(G10/B10),G10/B10," - ")</f>
        <v>3</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1534</v>
      </c>
      <c r="D12" s="403">
        <f>IF(ISNUMBER(C12/Datos!BH12),C12/Datos!BH12," - ")</f>
        <v>767</v>
      </c>
      <c r="E12" s="402">
        <f>IF(ISNUMBER(IF(J_V="SI",Datos!J12,Datos!J12+Datos!Z12)),IF(J_V="SI",Datos!J12,Datos!J12+Datos!Z12)," - ")</f>
        <v>166</v>
      </c>
      <c r="F12" s="403">
        <f>IF(ISNUMBER(E12/B12),E12/B12," - ")</f>
        <v>83</v>
      </c>
      <c r="G12" s="402">
        <f>IF(ISNUMBER(IF(J_V="SI",Datos!K12,Datos!K12+Datos!AA12)),IF(J_V="SI",Datos!K12,Datos!K12+Datos!AA12)," - ")</f>
        <v>288</v>
      </c>
      <c r="H12" s="403">
        <f>IF(ISNUMBER(G12/B12),G12/B12," - ")</f>
        <v>144</v>
      </c>
      <c r="I12" s="402">
        <f>IF(ISNUMBER(IF(J_V="SI",Datos!L12,Datos!L12+Datos!AB12)),IF(J_V="SI",Datos!L12,Datos!L12+Datos!AB12)," - ")</f>
        <v>1412</v>
      </c>
      <c r="J12" s="403">
        <f>IF(ISNUMBER(I12/B12),I12/B12," - ")</f>
        <v>706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1544</v>
      </c>
      <c r="D13" s="849" t="str">
        <f>IF(ISNUMBER(C13/Datos!BI13),C13/Datos!BI13," - ")</f>
        <v xml:space="preserve"> - </v>
      </c>
      <c r="E13" s="848">
        <f>SUBTOTAL(9,E8:E12)</f>
        <v>170</v>
      </c>
      <c r="F13" s="849">
        <f>IF(ISNUMBER(E13/B13),E13/B13," - ")</f>
        <v>85</v>
      </c>
      <c r="G13" s="848">
        <f>SUBTOTAL(9,G8:G12)</f>
        <v>291</v>
      </c>
      <c r="H13" s="849">
        <f>IF(ISNUMBER(G13/B13),G13/B13," - ")</f>
        <v>145.5</v>
      </c>
      <c r="I13" s="848">
        <f>SUBTOTAL(9,I8:I12)</f>
        <v>1423</v>
      </c>
      <c r="J13" s="849">
        <f>IF(ISNUMBER(I13/B13),I13/B13," - ")</f>
        <v>711.5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801</v>
      </c>
      <c r="D16" s="403">
        <f>IF(ISNUMBER(C16/Datos!BH16),C16/Datos!BH16," - ")</f>
        <v>400.5</v>
      </c>
      <c r="E16" s="402">
        <f>IF(ISNUMBER(IF(D_I="SI",Datos!J16,Datos!J16+Datos!AD16)),IF(D_I="SI",Datos!J16,Datos!J16+Datos!AD16)," - ")</f>
        <v>259</v>
      </c>
      <c r="F16" s="403">
        <f>IF(ISNUMBER(E16/B16),E16/B16," - ")</f>
        <v>129.5</v>
      </c>
      <c r="G16" s="402">
        <f>IF(ISNUMBER(IF(D_I="SI",Datos!K16,Datos!K16+Datos!AE16)),IF(D_I="SI",Datos!K16,Datos!K16+Datos!AE16)," - ")</f>
        <v>277</v>
      </c>
      <c r="H16" s="403">
        <f>IF(ISNUMBER(G16/B16),G16/B16," - ")</f>
        <v>138.5</v>
      </c>
      <c r="I16" s="402">
        <f>IF(ISNUMBER(IF(D_I="SI",Datos!L16,Datos!L16+Datos!AF16)),IF(D_I="SI",Datos!L16,Datos!L16+Datos!AF16)," - ")</f>
        <v>783</v>
      </c>
      <c r="J16" s="403">
        <f>IF(ISNUMBER(I16/B16),I16/B16," - ")</f>
        <v>391.5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38</v>
      </c>
      <c r="F17" s="403">
        <f>IF(ISNUMBER(E17/B17),E17/B17," - ")</f>
        <v>38</v>
      </c>
      <c r="G17" s="402">
        <f>IF(ISNUMBER(IF(D_I="SI",Datos!K17,Datos!K17+Datos!AE17)),IF(D_I="SI",Datos!K17,Datos!K17+Datos!AE17)," - ")</f>
        <v>33</v>
      </c>
      <c r="H17" s="403">
        <f>IF(ISNUMBER(G17/B17),G17/B17," - ")</f>
        <v>33</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860</v>
      </c>
      <c r="D18" s="849" t="str">
        <f>IF(ISNUMBER(C18/Datos!BI18),C18/Datos!BI18," - ")</f>
        <v xml:space="preserve"> - </v>
      </c>
      <c r="E18" s="848">
        <f>SUBTOTAL(9,E14:E17)</f>
        <v>297</v>
      </c>
      <c r="F18" s="849">
        <f>IF(ISNUMBER(E18/B18),E18/B18," - ")</f>
        <v>148.5</v>
      </c>
      <c r="G18" s="848">
        <f>SUBTOTAL(9,G14:G17)</f>
        <v>310</v>
      </c>
      <c r="H18" s="849">
        <f>IF(ISNUMBER(G18/B18),G18/B18," - ")</f>
        <v>155</v>
      </c>
      <c r="I18" s="848">
        <f>SUBTOTAL(9,I14:I17)</f>
        <v>847</v>
      </c>
      <c r="J18" s="849">
        <f>IF(ISNUMBER(I18/B18),I18/B18," - ")</f>
        <v>423.5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2404</v>
      </c>
      <c r="D19" s="794" t="str">
        <f>IF(ISNUMBER(C19/Datos!BI19),C19/Datos!BI19," - ")</f>
        <v xml:space="preserve"> - </v>
      </c>
      <c r="E19" s="793">
        <f>SUBTOTAL(9,E9:E18)</f>
        <v>467</v>
      </c>
      <c r="F19" s="794">
        <f>IF(ISNUMBER(E19/B19),E19/B19," - ")</f>
        <v>233.5</v>
      </c>
      <c r="G19" s="793">
        <f>SUBTOTAL(9,G9:G18)</f>
        <v>601</v>
      </c>
      <c r="H19" s="794">
        <f>IF(ISNUMBER(G19/B19),G19/B19," - ")</f>
        <v>300.5</v>
      </c>
      <c r="I19" s="793">
        <f>SUBTOTAL(9,I9:I18)</f>
        <v>2270</v>
      </c>
      <c r="J19" s="794">
        <f>IF(ISNUMBER(I19/B19),I19/B19," - ")</f>
        <v>1135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CGsMrrIOPNvtBiXnLf9Z5I/p1QlUEjzhEvHQXXfWcALm8XC/E2RGpDOSRkN5G0U6dNn0GYqHXYao4omOoKyvw==" saltValue="sQw0oLP6gDZKiyNsDyxs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ROTA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7.3333333333333321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130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9.8055555555555554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6.0869565217391307E-2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119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20</v>
      </c>
      <c r="AE13" s="938">
        <f t="shared" si="1"/>
        <v>0</v>
      </c>
      <c r="AF13" s="938">
        <f t="shared" si="1"/>
        <v>11</v>
      </c>
      <c r="AG13" s="938">
        <f t="shared" si="1"/>
        <v>0</v>
      </c>
      <c r="AH13" s="938">
        <f t="shared" si="1"/>
        <v>1708</v>
      </c>
      <c r="AI13" s="938">
        <f t="shared" si="1"/>
        <v>0</v>
      </c>
      <c r="AJ13" s="938">
        <f t="shared" si="1"/>
        <v>0</v>
      </c>
      <c r="AK13" s="938">
        <f t="shared" si="1"/>
        <v>0</v>
      </c>
      <c r="AL13" s="938">
        <f t="shared" si="1"/>
        <v>61</v>
      </c>
      <c r="AM13" s="938">
        <f t="shared" si="1"/>
        <v>131</v>
      </c>
      <c r="AN13" s="938">
        <f t="shared" si="1"/>
        <v>0</v>
      </c>
      <c r="AO13" s="938">
        <f t="shared" si="1"/>
        <v>0</v>
      </c>
      <c r="AP13" s="943">
        <f>IF(ISNUMBER(((Datos!L13/Datos!K13)*11)/factor_trimestre),((Datos!L13/Datos!K13)*11)/factor_trimestre," - ")</f>
        <v>10.014388489208633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6.0869565217391307E-2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5.4645161290322584</v>
      </c>
      <c r="AQ18" s="943">
        <f>IF(ISNUMBER(((Datos!M18/Datos!L18)*11)/factor_trimestre),((Datos!M18/Datos!L18)*11)/factor_trimestre," - ")</f>
        <v>0.13459268004722549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v>
      </c>
      <c r="AW18" s="945">
        <f>IF(ISNUMBER((Datos!Q18-Datos!R18)/(Datos!S18-Datos!Q18+Datos!R18)),(Datos!Q18-Datos!R18)/(Datos!S18-Datos!Q18+Datos!R18)," - ")</f>
        <v>-8.5578446909667191E-2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119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20</v>
      </c>
      <c r="AE19" s="956">
        <f t="shared" si="5"/>
        <v>0</v>
      </c>
      <c r="AF19" s="957">
        <f t="shared" si="5"/>
        <v>11</v>
      </c>
      <c r="AG19" s="957">
        <f t="shared" si="5"/>
        <v>0</v>
      </c>
      <c r="AH19" s="957">
        <f t="shared" si="5"/>
        <v>1708</v>
      </c>
      <c r="AI19" s="957">
        <f t="shared" si="5"/>
        <v>0</v>
      </c>
      <c r="AJ19" s="958">
        <f t="shared" si="5"/>
        <v>0</v>
      </c>
      <c r="AK19" s="958">
        <f t="shared" si="5"/>
        <v>0</v>
      </c>
      <c r="AL19" s="950">
        <f t="shared" si="5"/>
        <v>61</v>
      </c>
      <c r="AM19" s="950">
        <f t="shared" si="5"/>
        <v>131</v>
      </c>
      <c r="AN19" s="950">
        <f t="shared" si="5"/>
        <v>0</v>
      </c>
      <c r="AO19" s="950">
        <f t="shared" si="5"/>
        <v>0</v>
      </c>
      <c r="AP19" s="950">
        <f>IF(ISNUMBER(((Datos!L19/Datos!K19)*11)/factor_trimestre),((Datos!L19/Datos!K19)*11)/factor_trimestre," - ")</f>
        <v>7.6156462585034026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6.5256797583081574E-2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34.645827069552446</v>
      </c>
      <c r="AM21" s="735"/>
      <c r="AN21" s="735">
        <f>IF(ISNUMBER(STDEV(AN8:AN18)),STDEV(AN8:AN18),"-")</f>
        <v>0</v>
      </c>
      <c r="AO21" s="741">
        <f>IF(ISNUMBER(STDEV(AO8:AO18)),STDEV(AO8:AO18),"-")</f>
        <v>0</v>
      </c>
      <c r="AP21" s="778">
        <f>IF(ISNUMBER(STDEV(AP8:AP18)),STDEV(AP8:AP18),"-")</f>
        <v>2.1676021736527877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qPbsv22dkyZlMedi0ev+Gn+90d6oDzotigDRkV/2ppFEZInFP6YdEZzyYWDua5G2N227m5ACmz8Co2Bzj57kA==" saltValue="R5uix4Qe6rMUbWWjfydc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ROTA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myBo2KCPWcWzNQbznC0HP9ly6VGDiSIOCgDvJ4H6rYtG3X2NaVYcKbgtygPGCNOORFggsa0cPutFIhEukoWKg==" saltValue="OJsWxmM+dtnXA2idLfct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ROTA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130</v>
      </c>
      <c r="G12" s="403">
        <f t="shared" si="1"/>
        <v>65</v>
      </c>
      <c r="H12" s="402">
        <f>IF(ISNUMBER(Datos!O12),Datos!O12," - ")</f>
        <v>100</v>
      </c>
      <c r="I12" s="403">
        <f t="shared" si="2"/>
        <v>50</v>
      </c>
      <c r="BZ12" s="1185">
        <f>Datos!EZ12</f>
        <v>0</v>
      </c>
    </row>
    <row r="13" spans="1:78" ht="14.25" thickTop="1" thickBot="1">
      <c r="A13" s="847" t="str">
        <f>Datos!A13</f>
        <v>TOTAL</v>
      </c>
      <c r="B13" s="848">
        <f>Datos!AP13</f>
        <v>2</v>
      </c>
      <c r="C13" s="850">
        <f>Datos!AR13</f>
        <v>2</v>
      </c>
      <c r="D13" s="848">
        <f>SUBTOTAL(9,D9:D12)</f>
        <v>61</v>
      </c>
      <c r="E13" s="849">
        <f t="shared" si="0"/>
        <v>30.5</v>
      </c>
      <c r="F13" s="848">
        <f>SUBTOTAL(9,F9:F12)</f>
        <v>131</v>
      </c>
      <c r="G13" s="849">
        <f t="shared" si="1"/>
        <v>65.5</v>
      </c>
      <c r="H13" s="848">
        <f>SUBTOTAL(9,H9:H12)</f>
        <v>100</v>
      </c>
      <c r="I13" s="849">
        <f>IF(ISNUMBER(H13/B13),H13/B13," - ")</f>
        <v>50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49</v>
      </c>
      <c r="E16" s="403">
        <f t="shared" si="3"/>
        <v>24.5</v>
      </c>
      <c r="F16" s="402">
        <f>IF(ISNUMBER(Datos!N16),Datos!N16," - ")</f>
        <v>111</v>
      </c>
      <c r="G16" s="403">
        <f t="shared" si="4"/>
        <v>55.5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57</v>
      </c>
      <c r="E18" s="849">
        <f t="shared" si="3"/>
        <v>28.5</v>
      </c>
      <c r="F18" s="848">
        <f>SUBTOTAL(9,F15:F17)</f>
        <v>138</v>
      </c>
      <c r="G18" s="849">
        <f t="shared" si="4"/>
        <v>69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118</v>
      </c>
      <c r="E19" s="794">
        <f>IF(ISNUMBER(D19/B19),D19/B19," - ")</f>
        <v>59</v>
      </c>
      <c r="F19" s="793">
        <f>SUBTOTAL(9,F8:F18)</f>
        <v>269</v>
      </c>
      <c r="G19" s="794">
        <f>IF(ISNUMBER(F19/B19),F19/B19," - ")</f>
        <v>134.5</v>
      </c>
      <c r="H19" s="793">
        <f>SUBTOTAL(9,H8:H18)</f>
        <v>100</v>
      </c>
      <c r="I19" s="794">
        <f>IF(ISNUMBER(H19/B19),H19/B19," - ")</f>
        <v>50</v>
      </c>
    </row>
    <row r="22" spans="1:78">
      <c r="A22" s="390" t="str">
        <f>Criterios!A4</f>
        <v>Fecha Informe: 09 dic. 2025</v>
      </c>
    </row>
    <row r="27" spans="1:78">
      <c r="A27" s="413"/>
    </row>
  </sheetData>
  <sheetProtection algorithmName="SHA-512" hashValue="Tgrf0lJyzkjnApE1yu2OQBTJ1Vp2BzJMItlhzrrg5XejpVe1pbyqkqZ3kMs+iiqJDewgVLFaXkL02Ct+slxibA==" saltValue="DckksvM0Rz0qnyCO/EQz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ROTA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118</v>
      </c>
      <c r="C12" s="433">
        <f>IF(ISNUMBER(Datos!Q12),Datos!Q12," - ")</f>
        <v>20</v>
      </c>
      <c r="D12" s="407">
        <f>IF(ISNUMBER(Datos!R12),Datos!R12," - ")</f>
        <v>1708</v>
      </c>
    </row>
    <row r="13" spans="1:4" ht="14.25" thickTop="1" thickBot="1">
      <c r="A13" s="847" t="str">
        <f>Datos!A13</f>
        <v>TOTAL</v>
      </c>
      <c r="B13" s="848">
        <f>SUBTOTAL(9,B9:B12)</f>
        <v>119</v>
      </c>
      <c r="C13" s="852">
        <f>SUBTOTAL(9,C9:C12)</f>
        <v>20</v>
      </c>
      <c r="D13" s="850">
        <f>SUBTOTAL(9,D9:D12)</f>
        <v>1709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0</v>
      </c>
      <c r="D16" s="407">
        <f>IF(ISNUMBER(Datos!R16),Datos!R16," - ")</f>
        <v>53</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9</v>
      </c>
      <c r="C18" s="852">
        <f>SUBTOTAL(9,C15:C17)</f>
        <v>0</v>
      </c>
      <c r="D18" s="850">
        <f>SUBTOTAL(9,D15:D17)</f>
        <v>54</v>
      </c>
    </row>
    <row r="19" spans="1:4" ht="16.5" customHeight="1" thickTop="1" thickBot="1">
      <c r="A19" s="792" t="str">
        <f>Datos!A19</f>
        <v>TOTAL JURISDICCIONES</v>
      </c>
      <c r="B19" s="797">
        <f>SUBTOTAL(9,B8:B18)</f>
        <v>128</v>
      </c>
      <c r="C19" s="798">
        <f>SUBTOTAL(9,C8:C18)</f>
        <v>20</v>
      </c>
      <c r="D19" s="799">
        <f>SUBTOTAL(9,D8:D18)</f>
        <v>1763</v>
      </c>
    </row>
    <row r="20" spans="1:4" ht="7.5" customHeight="1"/>
    <row r="21" spans="1:4" ht="6" customHeight="1"/>
    <row r="22" spans="1:4">
      <c r="A22" s="390" t="str">
        <f>Criterios!A4</f>
        <v>Fecha Informe: 09 dic. 2025</v>
      </c>
    </row>
    <row r="27" spans="1:4">
      <c r="A27" s="413"/>
    </row>
  </sheetData>
  <sheetProtection algorithmName="SHA-512" hashValue="W6dxUzNyVBP+icTtWm0avqnAn58Sb5CnGJwW83yydVbiJPg1gnxGhugvfFegLvOymwKOfRwH+vJJ+Om0BlL5jQ==" saltValue="mwNiHlb64lUM7B/MO8x8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ROTA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0.1111111111111111</v>
      </c>
      <c r="C10" s="455">
        <f>IF(ISNUMBER((Datos!J10-Datos!T10)/Datos!T10),(Datos!J10-Datos!T10)/Datos!T10," - ")</f>
        <v>-0.5</v>
      </c>
      <c r="D10" s="455" t="str">
        <f>IF(ISNUMBER((Datos!K10-Datos!U10)/Datos!U10),(Datos!K10-Datos!U10)/Datos!U10," - ")</f>
        <v xml:space="preserve"> - </v>
      </c>
      <c r="E10" s="455">
        <f>IF(ISNUMBER((Datos!L10-Datos!V10)/Datos!V10),(Datos!L10-Datos!V10)/Datos!V10," - ")</f>
        <v>-0.35294117647058826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0.28691275167785235</v>
      </c>
      <c r="C12" s="455">
        <f>IF(ISNUMBER(
   IF(J_V="SI",(Datos!J12-Datos!T12)/Datos!T12,(Datos!J12+Datos!Z12-(Datos!T12+Datos!AH12))/(Datos!T12+Datos!AH12))
     ),IF(J_V="SI",(Datos!J12-Datos!T12)/Datos!T12,(Datos!J12+Datos!Z12-(Datos!T12+Datos!AH12))/(Datos!T12+Datos!AH12))," - ")</f>
        <v>-0.48286604361370716</v>
      </c>
      <c r="D12" s="455">
        <f>IF(ISNUMBER(
   IF(J_V="SI",(Datos!K12-Datos!U12)/Datos!U12,(Datos!K12+Datos!AA12-(Datos!U12+Datos!AI12))/(Datos!U12+Datos!AI12))
     ),IF(J_V="SI",(Datos!K12-Datos!U12)/Datos!U12,(Datos!K12+Datos!AA12-(Datos!U12+Datos!AI12))/(Datos!U12+Datos!AI12))," - ")</f>
        <v>0.24675324675324675</v>
      </c>
      <c r="E12" s="455">
        <f>IF(ISNUMBER(
   IF(J_V="SI",(Datos!L12-Datos!V12)/Datos!V12,(Datos!L12+Datos!AB12-(Datos!V12+Datos!AJ12))/(Datos!V12+Datos!AJ12))
     ),IF(J_V="SI",(Datos!L12-Datos!V12)/Datos!V12,(Datos!L12+Datos!AB12-(Datos!V12+Datos!AJ12))/(Datos!V12+Datos!AJ12))," - ")</f>
        <v>0.10140405616224649</v>
      </c>
      <c r="F12" s="455">
        <f>IF(ISNUMBER((Datos!M12-Datos!W12)/Datos!W12),(Datos!M12-Datos!W12)/Datos!W12," - ")</f>
        <v>-1.6393442622950821E-2</v>
      </c>
      <c r="G12" s="456">
        <f>IF(ISNUMBER((Datos!N12-Datos!X12)/Datos!X12),(Datos!N12-Datos!X12)/Datos!X12," - ")</f>
        <v>0.19266055045871561</v>
      </c>
      <c r="H12" s="454">
        <f>IF(ISNUMBER(((NºAsuntos!G12/NºAsuntos!E12)-Datos!BD12)/Datos!BD12),((NºAsuntos!G12/NºAsuntos!E12)-Datos!BD12)/Datos!BD12," - ")</f>
        <v>1.4108903145047724</v>
      </c>
      <c r="I12" s="455">
        <f>IF(ISNUMBER(((NºAsuntos!I12/NºAsuntos!G12)-Datos!BE12)/Datos!BE12),((NºAsuntos!I12/NºAsuntos!G12)-Datos!BE12)/Datos!BE12," - ")</f>
        <v>-0.1165821632865315</v>
      </c>
      <c r="J12" s="460">
        <f>IF(ISNUMBER((('Resol  Asuntos'!D12/NºAsuntos!G12)-Datos!BF12)/Datos!BF12),(('Resol  Asuntos'!D12/NºAsuntos!G12)-Datos!BF12)/Datos!BF12," - ")</f>
        <v>-0.55848623853210999</v>
      </c>
      <c r="K12" s="461">
        <f>IF(ISNUMBER((((NºAsuntos!C12+NºAsuntos!E12)/NºAsuntos!G12)-Datos!BG12)/Datos!BG12),(((NºAsuntos!C12+NºAsuntos!E12)/NºAsuntos!G12)-Datos!BG12)/Datos!BG12," - ")</f>
        <v>-9.8782771535580557E-2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0.28559533721898417</v>
      </c>
      <c r="C13" s="854">
        <f>IF(ISNUMBER(
   IF(J_V="SI",(Datos!J13-Datos!T13)/Datos!T13,(Datos!J13+Datos!Z13-(Datos!T13+Datos!AH13))/(Datos!T13+Datos!AH13))
     ),IF(J_V="SI",(Datos!J13-Datos!T13)/Datos!T13,(Datos!J13+Datos!Z13-(Datos!T13+Datos!AH13))/(Datos!T13+Datos!AH13))," - ")</f>
        <v>-0.48328267477203646</v>
      </c>
      <c r="D13" s="854">
        <f>IF(ISNUMBER(
   IF(J_V="SI",(Datos!K13-Datos!U13)/Datos!U13,(Datos!K13+Datos!AA13-(Datos!U13+Datos!AI13))/(Datos!U13+Datos!AI13))
     ),IF(J_V="SI",(Datos!K13-Datos!U13)/Datos!U13,(Datos!K13+Datos!AA13-(Datos!U13+Datos!AI13))/(Datos!U13+Datos!AI13))," - ")</f>
        <v>0.25974025974025972</v>
      </c>
      <c r="E13" s="854">
        <f>IF(ISNUMBER(
   IF(J_V="SI",(Datos!L13-Datos!V13)/Datos!V13,(Datos!L13+Datos!AB13-(Datos!V13+Datos!AJ13))/(Datos!V13+Datos!AJ13))
     ),IF(J_V="SI",(Datos!L13-Datos!V13)/Datos!V13,(Datos!L13+Datos!AB13-(Datos!V13+Datos!AJ13))/(Datos!V13+Datos!AJ13))," - ")</f>
        <v>9.5458044649730567E-2</v>
      </c>
      <c r="F13" s="855">
        <f>IF(ISNUMBER((Datos!M13-Datos!W13)/Datos!W13),(Datos!M13-Datos!W13)/Datos!W13," - ")</f>
        <v>0</v>
      </c>
      <c r="G13" s="856">
        <f>IF(ISNUMBER((Datos!N13-Datos!X13)/Datos!X13),(Datos!N13-Datos!X13)/Datos!X13," - ")</f>
        <v>0.20183486238532111</v>
      </c>
      <c r="H13" s="856">
        <f>IF(ISNUMBER(((NºAsuntos!G13/NºAsuntos!E13)-Datos!BD13)/Datos!BD13),((NºAsuntos!G13/NºAsuntos!E13)-Datos!BD13)/Datos!BD13," - ")</f>
        <v>1.4379679144385025</v>
      </c>
      <c r="I13" s="856">
        <f>IF(ISNUMBER(((NºAsuntos!I13/NºAsuntos!G13)-Datos!BE13)/Datos!BE13),((NºAsuntos!I13/NºAsuntos!G13)-Datos!BE13)/Datos!BE13," - ")</f>
        <v>-0.13040959342237879</v>
      </c>
      <c r="J13" s="856">
        <f>IF(ISNUMBER((('Resol  Asuntos'!D13/NºAsuntos!G13)-Datos!BF13)/Datos!BF13),(('Resol  Asuntos'!D13/NºAsuntos!G13)-Datos!BF13)/Datos!BF13," - ")</f>
        <v>-0.55575522557457668</v>
      </c>
      <c r="K13" s="856">
        <f>IF(ISNUMBER((((NºAsuntos!C13+NºAsuntos!E13)/NºAsuntos!G13)-Datos!BG13)/Datos!BG13),(((NºAsuntos!C13+NºAsuntos!E13)/NºAsuntos!G13)-Datos!BG13)/Datos!BG13," - ")</f>
        <v>-0.11072030186645102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0.44584837545126355</v>
      </c>
      <c r="C16" s="455">
        <f>IF(ISNUMBER(
   IF(D_I="SI",(Datos!J16-Datos!T16)/Datos!T16,(Datos!J16+Datos!AD16-(Datos!T16+Datos!AL16))/(Datos!T16+Datos!AL16))
     ),IF(D_I="SI",(Datos!J16-Datos!T16)/Datos!T16,(Datos!J16+Datos!AD16-(Datos!T16+Datos!AL16))/(Datos!T16+Datos!AL16))," - ")</f>
        <v>-0.3324742268041237</v>
      </c>
      <c r="D16" s="455">
        <f>IF(ISNUMBER(
   IF(D_I="SI",(Datos!K16-Datos!U16)/Datos!U16,(Datos!K16+Datos!AE16-(Datos!U16+Datos!AM16))/(Datos!U16+Datos!AM16))
     ),IF(D_I="SI",(Datos!K16-Datos!U16)/Datos!U16,(Datos!K16+Datos!AE16-(Datos!U16+Datos!AM16))/(Datos!U16+Datos!AM16))," - ")</f>
        <v>-6.1016949152542375E-2</v>
      </c>
      <c r="E16" s="455">
        <f>IF(ISNUMBER(
   IF(D_I="SI",(Datos!L16-Datos!V16)/Datos!V16,(Datos!L16+Datos!AF16-(Datos!V16+Datos!AN16))/(Datos!V16+Datos!AN16))
     ),IF(D_I="SI",(Datos!L16-Datos!V16)/Datos!V16,(Datos!L16+Datos!AF16-(Datos!V16+Datos!AN16))/(Datos!V16+Datos!AN16))," - ")</f>
        <v>0.21020092735703247</v>
      </c>
      <c r="F16" s="455">
        <f>IF(ISNUMBER((Datos!M16-Datos!W16)/Datos!W16),(Datos!M16-Datos!W16)/Datos!W16," - ")</f>
        <v>0</v>
      </c>
      <c r="G16" s="456">
        <f>IF(ISNUMBER((Datos!N16-Datos!X16)/Datos!X16),(Datos!N16-Datos!X16)/Datos!X16," - ")</f>
        <v>-0.22377622377622378</v>
      </c>
      <c r="H16" s="454">
        <f>IF(ISNUMBER(((NºAsuntos!G16/NºAsuntos!E16)-Datos!BD16)/Datos!BD16),((NºAsuntos!G16/NºAsuntos!E16)-Datos!BD16)/Datos!BD16," - ")</f>
        <v>0.40666186767881701</v>
      </c>
      <c r="I16" s="455">
        <f>IF(ISNUMBER(((NºAsuntos!I16/NºAsuntos!G16)-Datos!BE16)/Datos!BE16),((NºAsuntos!I16/NºAsuntos!G16)-Datos!BE16)/Datos!BE16," - ")</f>
        <v>0.28884214285315751</v>
      </c>
      <c r="J16" s="460">
        <f>IF(ISNUMBER((('Resol  Asuntos'!D16/NºAsuntos!G16)-Datos!BF16)/Datos!BF16),(('Resol  Asuntos'!D16/NºAsuntos!G16)-Datos!BF16)/Datos!BF16," - ")</f>
        <v>6.4981949458483748E-2</v>
      </c>
      <c r="K16" s="461">
        <f>IF(ISNUMBER((((NºAsuntos!C16+NºAsuntos!E16)/NºAsuntos!G16)-Datos!BG16)/Datos!BG16),(((NºAsuntos!C16+NºAsuntos!E16)/NºAsuntos!G16)-Datos!BG16)/Datos!BG16," - ")</f>
        <v>0.19838733166241285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1.5652173913043479</v>
      </c>
      <c r="C17" s="455">
        <f>IF(ISNUMBER(
   IF(D_I="SI",(Datos!J17-Datos!T17)/Datos!T17,(Datos!J17+Datos!AD17-(Datos!T17+Datos!AL17))/(Datos!T17+Datos!AL17))
     ),IF(D_I="SI",(Datos!J17-Datos!T17)/Datos!T17,(Datos!J17+Datos!AD17-(Datos!T17+Datos!AL17))/(Datos!T17+Datos!AL17))," - ")</f>
        <v>-0.40625</v>
      </c>
      <c r="D17" s="455">
        <f>IF(ISNUMBER(
   IF(D_I="SI",(Datos!K17-Datos!U17)/Datos!U17,(Datos!K17+Datos!AE17-(Datos!U17+Datos!AM17))/(Datos!U17+Datos!AM17))
     ),IF(D_I="SI",(Datos!K17-Datos!U17)/Datos!U17,(Datos!K17+Datos!AE17-(Datos!U17+Datos!AM17))/(Datos!U17+Datos!AM17))," - ")</f>
        <v>-0.3888888888888889</v>
      </c>
      <c r="E17" s="455">
        <f>IF(ISNUMBER(
   IF(D_I="SI",(Datos!L17-Datos!V17)/Datos!V17,(Datos!L17+Datos!AF17-(Datos!V17+Datos!AN17))/(Datos!V17+Datos!AN17))
     ),IF(D_I="SI",(Datos!L17-Datos!V17)/Datos!V17,(Datos!L17+Datos!AF17-(Datos!V17+Datos!AN17))/(Datos!V17+Datos!AN17))," - ")</f>
        <v>0.93939393939393945</v>
      </c>
      <c r="F17" s="455">
        <f>IF(ISNUMBER((Datos!M17-Datos!W17)/Datos!W17),(Datos!M17-Datos!W17)/Datos!W17," - ")</f>
        <v>1</v>
      </c>
      <c r="G17" s="456">
        <f>IF(ISNUMBER((Datos!N17-Datos!X17)/Datos!X17),(Datos!N17-Datos!X17)/Datos!X17," - ")</f>
        <v>-0.12903225806451613</v>
      </c>
      <c r="H17" s="454">
        <f>IF(ISNUMBER(((NºAsuntos!G17/NºAsuntos!E17)-Datos!BD17)/Datos!BD17),((NºAsuntos!G17/NºAsuntos!E17)-Datos!BD17)/Datos!BD17," - ")</f>
        <v>2.9239766081871385E-2</v>
      </c>
      <c r="I17" s="455">
        <f>IF(ISNUMBER(((NºAsuntos!I17/NºAsuntos!G17)-Datos!BE17)/Datos!BE17),((NºAsuntos!I17/NºAsuntos!G17)-Datos!BE17)/Datos!BE17," - ")</f>
        <v>2.1735537190082641</v>
      </c>
      <c r="J17" s="460">
        <f>IF(ISNUMBER((('Resol  Asuntos'!D17/NºAsuntos!G17)-Datos!BF17)/Datos!BF17),(('Resol  Asuntos'!D17/NºAsuntos!G17)-Datos!BF17)/Datos!BF17," - ")</f>
        <v>2.2727272727272729</v>
      </c>
      <c r="K17" s="461">
        <f>IF(ISNUMBER((((NºAsuntos!C17+NºAsuntos!E17)/NºAsuntos!G17)-Datos!BG17)/Datos!BG17),(((NºAsuntos!C17+NºAsuntos!E17)/NºAsuntos!G17)-Datos!BG17)/Datos!BG17," - ")</f>
        <v>0.82445141065830718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0.49046793760831892</v>
      </c>
      <c r="C18" s="854">
        <f>IF(ISNUMBER(
   IF(Criterios!B14="SI",(Datos!J18-Datos!T18)/Datos!T18,(Datos!J18+Datos!AD18-(Datos!T18+Datos!AL18))/(Datos!T18+Datos!AL18))
     ),IF(Criterios!B14="SI",(Datos!J18-Datos!T18)/Datos!T18,(Datos!J18+Datos!AD18-(Datos!T18+Datos!AL18))/(Datos!T18+Datos!AL18))," - ")</f>
        <v>-0.34292035398230086</v>
      </c>
      <c r="D18" s="854">
        <f>IF(ISNUMBER(
   IF(Criterios!B14="SI",(Datos!K18-Datos!U18)/Datos!U18,(Datos!K18+Datos!AE18-(Datos!U18+Datos!AM18))/(Datos!U18+Datos!AM18))
     ),IF(Criterios!B14="SI",(Datos!K18-Datos!U18)/Datos!U18,(Datos!K18+Datos!AE18-(Datos!U18+Datos!AM18))/(Datos!U18+Datos!AM18))," - ")</f>
        <v>-0.11174785100286533</v>
      </c>
      <c r="E18" s="854">
        <f>IF(ISNUMBER(
   IF(Criterios!B14="SI",(Datos!L18-Datos!V18)/Datos!V18,(Datos!L18+Datos!AF18-(Datos!V18+Datos!AN18))/(Datos!V18+Datos!AN18))
     ),IF(Criterios!B14="SI",(Datos!L18-Datos!V18)/Datos!V18,(Datos!L18+Datos!AF18-(Datos!V18+Datos!AN18))/(Datos!V18+Datos!AN18))," - ")</f>
        <v>0.24558823529411763</v>
      </c>
      <c r="F18" s="855">
        <f>IF(ISNUMBER((Datos!M18-Datos!W18)/Datos!W18),(Datos!M18-Datos!W18)/Datos!W18," - ")</f>
        <v>7.5471698113207544E-2</v>
      </c>
      <c r="G18" s="856">
        <f>IF(ISNUMBER((Datos!N18-Datos!X18)/Datos!X18),(Datos!N18-Datos!X18)/Datos!X18," - ")</f>
        <v>-0.20689655172413793</v>
      </c>
      <c r="H18" s="856">
        <f>IF(ISNUMBER(((NºAsuntos!G18/NºAsuntos!E18)-Datos!BD18)/Datos!BD18),((NºAsuntos!G18/NºAsuntos!E18)-Datos!BD18)/Datos!BD18," - ")</f>
        <v>0.35181808534244047</v>
      </c>
      <c r="I18" s="856">
        <f>IF(ISNUMBER(((NºAsuntos!I18/NºAsuntos!G18)-Datos!BE18)/Datos!BE18),((NºAsuntos!I18/NºAsuntos!G18)-Datos!BE18)/Datos!BE18," - ")</f>
        <v>0.40229127134724857</v>
      </c>
      <c r="J18" s="856">
        <f>IF(ISNUMBER((('Resol  Asuntos'!D18/NºAsuntos!G18)-Datos!BF18)/Datos!BF18),(('Resol  Asuntos'!D18/NºAsuntos!G18)-Datos!BF18)/Datos!BF18," - ")</f>
        <v>0.21077297626293362</v>
      </c>
      <c r="K18" s="856">
        <f>IF(ISNUMBER((((NºAsuntos!C18+NºAsuntos!E18)/NºAsuntos!G18)-Datos!BG18)/Datos!BG18),(((NºAsuntos!C18+NºAsuntos!E18)/NºAsuntos!G18)-Datos!BG18)/Datos!BG18," - ")</f>
        <v>0.26584845919934796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0.35208098987626546</v>
      </c>
      <c r="C19" s="801">
        <f>IF(ISNUMBER(
   IF(J_V="SI",(Datos!J19-Datos!T19)/Datos!T19,(Datos!J19+Datos!Z19-(Datos!T19+Datos!AH19))/(Datos!T19+Datos!AH19))
     ),IF(J_V="SI",(Datos!J19-Datos!T19)/Datos!T19,(Datos!J19+Datos!Z19-(Datos!T19+Datos!AH19))/(Datos!T19+Datos!AH19))," - ")</f>
        <v>-0.40204865556978231</v>
      </c>
      <c r="D19" s="801">
        <f>IF(ISNUMBER(
   IF(J_V="SI",(Datos!K19-Datos!U19)/Datos!U19,(Datos!K19+Datos!AA19-(Datos!U19+Datos!AI19))/(Datos!U19+Datos!AI19))
     ),IF(J_V="SI",(Datos!K19-Datos!U19)/Datos!U19,(Datos!K19+Datos!AA19-(Datos!U19+Datos!AI19))/(Datos!U19+Datos!AI19))," - ")</f>
        <v>3.6206896551724141E-2</v>
      </c>
      <c r="E19" s="801">
        <f>IF(ISNUMBER(
   IF(J_V="SI",(Datos!L19-Datos!V19)/Datos!V19,(Datos!L19+Datos!AB19-(Datos!V19+Datos!AJ19))/(Datos!V19+Datos!AJ19))
     ),IF(J_V="SI",(Datos!L19-Datos!V19)/Datos!V19,(Datos!L19+Datos!AB19-(Datos!V19+Datos!AJ19))/(Datos!V19+Datos!AJ19))," - ")</f>
        <v>0.14704396159676605</v>
      </c>
      <c r="F19" s="802">
        <f>IF(ISNUMBER((Datos!M19-Datos!W19)/Datos!W19),(Datos!M19-Datos!W19)/Datos!W19," - ")</f>
        <v>3.5087719298245612E-2</v>
      </c>
      <c r="G19" s="803">
        <f>IF(ISNUMBER((Datos!N19-Datos!X19)/Datos!X19),(Datos!N19-Datos!X19)/Datos!X19," - ")</f>
        <v>-4.9469964664310952E-2</v>
      </c>
      <c r="H19" s="804">
        <f>IF(ISNUMBER((Tasas!B19-Datos!BD19)/Datos!BD19),(Tasas!B19-Datos!BD19)/Datos!BD19," - ")</f>
        <v>0.73292845012183405</v>
      </c>
      <c r="I19" s="805">
        <f>IF(ISNUMBER((Tasas!C19-Datos!BE19)/Datos!BE19),(Tasas!C19-Datos!BE19)/Datos!BE19," - ")</f>
        <v>0.10696422250603052</v>
      </c>
      <c r="J19" s="806">
        <f>IF(ISNUMBER((Tasas!D19-Datos!BF19)/Datos!BF19),(Tasas!D19-Datos!BF19)/Datos!BF19," - ")</f>
        <v>-0.29705634641852063</v>
      </c>
      <c r="K19" s="806">
        <f>IF(ISNUMBER((Tasas!E19-Datos!BG19)/Datos!BG19),(Tasas!E19-Datos!BG19)/Datos!BG19," - ")</f>
        <v>8.2720670707086413E-2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qU5DNdrPzYv7XdUhwb3IGHN/3D5gseGqkpwIAszvsLXZgNA2r02lj61o0H9SfqpzamQlybjxgOsozqIfKPDLA==" saltValue="N3goq2jtLag1De25vr5b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ROTA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3.6666666666666665</v>
      </c>
      <c r="D10" s="443">
        <f>IF(ISNUMBER('Resol  Asuntos'!D10/NºAsuntos!G10),'Resol  Asuntos'!D10/NºAsuntos!G10," - ")</f>
        <v>0.33333333333333331</v>
      </c>
      <c r="E10" s="444">
        <f>IF(ISNUMBER((NºAsuntos!C10+NºAsuntos!E10)/NºAsuntos!G10),(NºAsuntos!C10+NºAsuntos!E10)/NºAsuntos!G10," - ")</f>
        <v>4.666666666666667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1.7349397590361446</v>
      </c>
      <c r="C12" s="442">
        <f>IF(ISNUMBER(NºAsuntos!I12/NºAsuntos!G12),NºAsuntos!I12/NºAsuntos!G12," - ")</f>
        <v>4.9027777777777777</v>
      </c>
      <c r="D12" s="443">
        <f>IF(ISNUMBER('Resol  Asuntos'!D12/NºAsuntos!G12),'Resol  Asuntos'!D12/NºAsuntos!G12," - ")</f>
        <v>0.20833333333333334</v>
      </c>
      <c r="E12" s="444">
        <f>IF(ISNUMBER((NºAsuntos!C12+NºAsuntos!E12)/NºAsuntos!G12),(NºAsuntos!C12+NºAsuntos!E12)/NºAsuntos!G12," - ")</f>
        <v>5.9027777777777777</v>
      </c>
      <c r="G12" s="462"/>
    </row>
    <row r="13" spans="1:7" ht="14.25" thickTop="1" thickBot="1">
      <c r="A13" s="847" t="str">
        <f>Datos!A13</f>
        <v>TOTAL</v>
      </c>
      <c r="B13" s="857">
        <f>IF(ISNUMBER(NºAsuntos!G13/NºAsuntos!E13),NºAsuntos!G13/NºAsuntos!E13," - ")</f>
        <v>1.7117647058823529</v>
      </c>
      <c r="C13" s="858">
        <f>IF(ISNUMBER(NºAsuntos!I13/NºAsuntos!G13),NºAsuntos!I13/NºAsuntos!G13," - ")</f>
        <v>4.8900343642611688</v>
      </c>
      <c r="D13" s="859">
        <f>IF(ISNUMBER('Resol  Asuntos'!D13/NºAsuntos!G13),'Resol  Asuntos'!D13/NºAsuntos!G13," - ")</f>
        <v>0.20962199312714777</v>
      </c>
      <c r="E13" s="860">
        <f>IF(ISNUMBER((NºAsuntos!C13+NºAsuntos!E13)/NºAsuntos!G13),(NºAsuntos!C13+NºAsuntos!E13)/NºAsuntos!G13," - ")</f>
        <v>5.8900343642611688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1.0694980694980696</v>
      </c>
      <c r="C16" s="442">
        <f>IF(ISNUMBER(NºAsuntos!I16/NºAsuntos!G16),NºAsuntos!I16/NºAsuntos!G16," - ")</f>
        <v>2.8267148014440435</v>
      </c>
      <c r="D16" s="443">
        <f>IF(ISNUMBER('Resol  Asuntos'!D16/NºAsuntos!G16),'Resol  Asuntos'!D16/NºAsuntos!G16," - ")</f>
        <v>0.17689530685920576</v>
      </c>
      <c r="E16" s="444">
        <f>IF(ISNUMBER((NºAsuntos!C16+NºAsuntos!E16)/NºAsuntos!G16),(NºAsuntos!C16+NºAsuntos!E16)/NºAsuntos!G16," - ")</f>
        <v>3.8267148014440435</v>
      </c>
      <c r="G16" s="462"/>
    </row>
    <row r="17" spans="1:7" ht="21.75" thickBot="1">
      <c r="A17" s="401" t="str">
        <f>Datos!A17</f>
        <v>Jdos. Violencia contra la mujer/Secc Viol. TI.</v>
      </c>
      <c r="B17" s="441">
        <f>IF(ISNUMBER(NºAsuntos!G17/NºAsuntos!E17),NºAsuntos!G17/NºAsuntos!E17," - ")</f>
        <v>0.86842105263157898</v>
      </c>
      <c r="C17" s="442">
        <f>IF(ISNUMBER(NºAsuntos!I17/NºAsuntos!G17),NºAsuntos!I17/NºAsuntos!G17," - ")</f>
        <v>1.9393939393939394</v>
      </c>
      <c r="D17" s="443">
        <f>IF(ISNUMBER('Resol  Asuntos'!D17/NºAsuntos!G17),'Resol  Asuntos'!D17/NºAsuntos!G17," - ")</f>
        <v>0.24242424242424243</v>
      </c>
      <c r="E17" s="444">
        <f>IF(ISNUMBER((NºAsuntos!C17+NºAsuntos!E17)/NºAsuntos!G17),(NºAsuntos!C17+NºAsuntos!E17)/NºAsuntos!G17," - ")</f>
        <v>2.9393939393939394</v>
      </c>
      <c r="G17" s="462"/>
    </row>
    <row r="18" spans="1:7" ht="14.25" thickTop="1" thickBot="1">
      <c r="A18" s="847" t="str">
        <f>Datos!A18</f>
        <v>TOTAL</v>
      </c>
      <c r="B18" s="857">
        <f>IF(ISNUMBER(NºAsuntos!G18/NºAsuntos!E18),NºAsuntos!G18/NºAsuntos!E18," - ")</f>
        <v>1.0437710437710437</v>
      </c>
      <c r="C18" s="858">
        <f>IF(ISNUMBER(NºAsuntos!I18/NºAsuntos!G18),NºAsuntos!I18/NºAsuntos!G18," - ")</f>
        <v>2.7322580645161292</v>
      </c>
      <c r="D18" s="861">
        <f>IF(ISNUMBER('Resol  Asuntos'!D18/NºAsuntos!G18),'Resol  Asuntos'!D18/NºAsuntos!G18," - ")</f>
        <v>0.18387096774193548</v>
      </c>
      <c r="E18" s="860">
        <f>IF(ISNUMBER((NºAsuntos!C18+NºAsuntos!E18)/NºAsuntos!G18),(NºAsuntos!C18+NºAsuntos!E18)/NºAsuntos!G18," - ")</f>
        <v>3.7322580645161292</v>
      </c>
      <c r="G18" s="462"/>
    </row>
    <row r="19" spans="1:7" ht="15.75" customHeight="1" thickTop="1" thickBot="1">
      <c r="A19" s="792" t="str">
        <f>Datos!A19</f>
        <v>TOTAL JURISDICCIONES</v>
      </c>
      <c r="B19" s="807">
        <f>IF(ISNUMBER(NºAsuntos!G19/NºAsuntos!E19),NºAsuntos!G19/NºAsuntos!E19," - ")</f>
        <v>1.2869379014989293</v>
      </c>
      <c r="C19" s="808">
        <f>IF(ISNUMBER(NºAsuntos!I19/NºAsuntos!G19),NºAsuntos!I19/NºAsuntos!G19," - ")</f>
        <v>3.777038269550749</v>
      </c>
      <c r="D19" s="809">
        <f>IF(ISNUMBER('Resol  Asuntos'!D19/NºAsuntos!G19),'Resol  Asuntos'!D19/NºAsuntos!G19," - ")</f>
        <v>0.19633943427620631</v>
      </c>
      <c r="E19" s="810">
        <f>IF(ISNUMBER((NºAsuntos!C19+NºAsuntos!E19)/NºAsuntos!G19),(NºAsuntos!C19+NºAsuntos!E19)/NºAsuntos!G19," - ")</f>
        <v>4.777038269550749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qZ1WTP6blz3fnF8Dtz9vLKrXadGOmwQLmG88TcHTg8v/Dk28Chw0zDRetqjKL1pr6UY5ger++qF1mPMFH8nNw==" saltValue="E7zF2GEjtBXNea3RcjUK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ROTA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11</v>
      </c>
      <c r="AB10" s="333">
        <f>IF(ISNUMBER(Datos!R10),Datos!R10," - ")</f>
        <v>1</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7.3333333333333321</v>
      </c>
      <c r="AN10" s="243">
        <f>IF(ISNUMBER('Resol  Asuntos'!D10/NºAsuntos!G10),'Resol  Asuntos'!D10/NºAsuntos!G10," - ")</f>
        <v>0.33333333333333331</v>
      </c>
      <c r="AO10" s="244">
        <f>IF(ISNUMBER((NºAsuntos!C10+NºAsuntos!E10)/NºAsuntos!G10),(NºAsuntos!C10+NºAsuntos!E10)/NºAsuntos!G10," - ")</f>
        <v>4.666666666666667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1.7349397590361446</v>
      </c>
      <c r="AM12" s="259">
        <f>IF(ISNUMBER(((NºAsuntos!I12/NºAsuntos!G12)*11)/factor_trimestre),((NºAsuntos!I12/NºAsuntos!G12)*11)/factor_trimestre," - ")</f>
        <v>9.8055555555555554</v>
      </c>
      <c r="AN12" s="243">
        <f>IF(ISNUMBER('Resol  Asuntos'!D12/NºAsuntos!G12),'Resol  Asuntos'!D12/NºAsuntos!G12," - ")</f>
        <v>0.20833333333333334</v>
      </c>
      <c r="AO12" s="244">
        <f>IF(ISNUMBER((NºAsuntos!C12+NºAsuntos!E12)/NºAsuntos!G12),(NºAsuntos!C12+NºAsuntos!E12)/NºAsuntos!G12," - ")</f>
        <v>5.9027777777777777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119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20</v>
      </c>
      <c r="Y13" s="867">
        <f t="shared" si="4"/>
        <v>23</v>
      </c>
      <c r="Z13" s="867">
        <f t="shared" si="4"/>
        <v>0</v>
      </c>
      <c r="AA13" s="867">
        <f t="shared" si="4"/>
        <v>11</v>
      </c>
      <c r="AB13" s="867">
        <f t="shared" si="4"/>
        <v>1709</v>
      </c>
      <c r="AC13" s="867">
        <f t="shared" si="4"/>
        <v>12</v>
      </c>
      <c r="AD13" s="867">
        <f t="shared" si="4"/>
        <v>0</v>
      </c>
      <c r="AE13" s="871">
        <f t="shared" si="4"/>
        <v>0</v>
      </c>
      <c r="AF13" s="864">
        <f t="shared" si="4"/>
        <v>0</v>
      </c>
      <c r="AG13" s="872">
        <f t="shared" si="4"/>
        <v>0</v>
      </c>
      <c r="AH13" s="869">
        <f t="shared" si="4"/>
        <v>0</v>
      </c>
      <c r="AI13" s="864">
        <f t="shared" si="4"/>
        <v>61</v>
      </c>
      <c r="AJ13" s="866">
        <f t="shared" si="4"/>
        <v>0</v>
      </c>
      <c r="AK13" s="869">
        <f>SUBTOTAL(9,AK9:AK12)</f>
        <v>0</v>
      </c>
      <c r="AL13" s="873">
        <f>IF(ISNUMBER(NºAsuntos!G13/NºAsuntos!E13),NºAsuntos!G13/NºAsuntos!E13," - ")</f>
        <v>1.7117647058823529</v>
      </c>
      <c r="AM13" s="873">
        <f>IF(ISNUMBER(((NºAsuntos!I13/NºAsuntos!G13)*11)/factor_trimestre),((NºAsuntos!I13/NºAsuntos!G13)*11)/factor_trimestre," - ")</f>
        <v>9.7800687285223376</v>
      </c>
      <c r="AN13" s="874">
        <f>IF(ISNUMBER('Resol  Asuntos'!D13/NºAsuntos!G13),'Resol  Asuntos'!D13/NºAsuntos!G13," - ")</f>
        <v>0.20962199312714777</v>
      </c>
      <c r="AO13" s="875">
        <f>IF(ISNUMBER((NºAsuntos!C13+NºAsuntos!E13)/NºAsuntos!G13),(NºAsuntos!C13+NºAsuntos!E13)/NºAsuntos!G13," - ")</f>
        <v>5.8900343642611688</v>
      </c>
      <c r="AP13" s="876" t="str">
        <f t="shared" si="2"/>
        <v xml:space="preserve"> - </v>
      </c>
      <c r="AQ13" s="876">
        <f>IF(ISNUMBER((H13-W13+K13)/(F13)),(H13-W13+K13)/(F13)," - ")</f>
        <v>-0.3</v>
      </c>
      <c r="AR13" s="877">
        <f>IF(ISNUMBER((Datos!P13-Datos!Q13)/(Datos!R13-Datos!P13+Datos!Q13)),(Datos!P13-Datos!Q13)/(Datos!R13-Datos!P13+Datos!Q13)," - ")</f>
        <v>6.1490683229813665E-2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801</v>
      </c>
      <c r="G16" s="332">
        <f>IF(ISNUMBER(IF(D_I="SI",Datos!I16,Datos!I16+Datos!AC16)),IF(D_I="SI",Datos!I16,Datos!I16+Datos!AC16)," - ")</f>
        <v>801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277</v>
      </c>
      <c r="X16" s="225">
        <f>IF(ISNUMBER(Datos!Q16),Datos!Q16," - ")</f>
        <v>0</v>
      </c>
      <c r="Y16" s="333">
        <f t="shared" ref="Y16:Y17" si="7">SUM(W16:X16)</f>
        <v>277</v>
      </c>
      <c r="Z16" s="334" t="str">
        <f>IF(ISNUMBER(Datos!CC16),Datos!CC16," - ")</f>
        <v xml:space="preserve"> - </v>
      </c>
      <c r="AA16" s="331">
        <f>IF(ISNUMBER(IF(D_I="SI",Datos!L16,Datos!L16+Datos!AF16)),IF(D_I="SI",Datos!L16,Datos!L16+Datos!AF16)," - ")</f>
        <v>783</v>
      </c>
      <c r="AB16" s="333">
        <f>IF(ISNUMBER(Datos!R16),Datos!R16," - ")</f>
        <v>53</v>
      </c>
      <c r="AC16" s="333">
        <f t="shared" si="6"/>
        <v>836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1.0694980694980696</v>
      </c>
      <c r="AM16" s="259">
        <f>IF(ISNUMBER(((NºAsuntos!I16/NºAsuntos!G16)*11)/factor_trimestre),((NºAsuntos!I16/NºAsuntos!G16)*11)/factor_trimestre," - ")</f>
        <v>5.653429602888087</v>
      </c>
      <c r="AN16" s="243">
        <f>IF(ISNUMBER('Resol  Asuntos'!D16/NºAsuntos!G16),'Resol  Asuntos'!D16/NºAsuntos!G16," - ")</f>
        <v>0.17689530685920576</v>
      </c>
      <c r="AO16" s="244">
        <f>IF(ISNUMBER((NºAsuntos!C16+NºAsuntos!E16)/NºAsuntos!G16),(NºAsuntos!C16+NºAsuntos!E16)/NºAsuntos!G16," - ")</f>
        <v>3.8267148014440435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64</v>
      </c>
      <c r="AB17" s="333">
        <f>IF(ISNUMBER(Datos!R17),Datos!R17," - ")</f>
        <v>1</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0.86842105263157898</v>
      </c>
      <c r="AM17" s="259">
        <f>IF(ISNUMBER(((NºAsuntos!I17/NºAsuntos!G17)*11)/factor_trimestre),((NºAsuntos!I17/NºAsuntos!G17)*11)/factor_trimestre," - ")</f>
        <v>3.8787878787878793</v>
      </c>
      <c r="AN17" s="243">
        <f>IF(ISNUMBER('Resol  Asuntos'!D17/NºAsuntos!G17),'Resol  Asuntos'!D17/NºAsuntos!G17," - ")</f>
        <v>0.24242424242424243</v>
      </c>
      <c r="AO17" s="244">
        <f>IF(ISNUMBER((NºAsuntos!C17+NºAsuntos!E17)/NºAsuntos!G17),(NºAsuntos!C17+NºAsuntos!E17)/NºAsuntos!G17," - ")</f>
        <v>2.9393939393939394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801</v>
      </c>
      <c r="G18" s="865">
        <f>SUBTOTAL(9,G15:G17)</f>
        <v>860</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310</v>
      </c>
      <c r="X18" s="866">
        <f t="shared" si="11"/>
        <v>0</v>
      </c>
      <c r="Y18" s="867">
        <f t="shared" si="11"/>
        <v>310</v>
      </c>
      <c r="Z18" s="867">
        <f t="shared" si="11"/>
        <v>0</v>
      </c>
      <c r="AA18" s="867">
        <f t="shared" si="11"/>
        <v>847</v>
      </c>
      <c r="AB18" s="867">
        <f t="shared" si="11"/>
        <v>54</v>
      </c>
      <c r="AC18" s="867">
        <f t="shared" si="11"/>
        <v>901</v>
      </c>
      <c r="AD18" s="867">
        <f t="shared" si="11"/>
        <v>0</v>
      </c>
      <c r="AE18" s="871">
        <f t="shared" si="11"/>
        <v>0</v>
      </c>
      <c r="AF18" s="864">
        <f t="shared" si="11"/>
        <v>0</v>
      </c>
      <c r="AG18" s="872">
        <f t="shared" si="11"/>
        <v>0</v>
      </c>
      <c r="AH18" s="869">
        <f t="shared" si="11"/>
        <v>0</v>
      </c>
      <c r="AI18" s="864">
        <f t="shared" si="11"/>
        <v>57</v>
      </c>
      <c r="AJ18" s="866">
        <f t="shared" si="11"/>
        <v>0</v>
      </c>
      <c r="AK18" s="869">
        <f t="shared" si="11"/>
        <v>0</v>
      </c>
      <c r="AL18" s="873">
        <f>IF(ISNUMBER(NºAsuntos!G18/NºAsuntos!E18),NºAsuntos!G18/NºAsuntos!E18," - ")</f>
        <v>1.0437710437710437</v>
      </c>
      <c r="AM18" s="873">
        <f>IF(ISNUMBER(((NºAsuntos!I18/NºAsuntos!G18)*11)/factor_trimestre),((NºAsuntos!I18/NºAsuntos!G18)*11)/factor_trimestre," - ")</f>
        <v>5.4645161290322584</v>
      </c>
      <c r="AN18" s="874">
        <f>IF(ISNUMBER('Resol  Asuntos'!D18/NºAsuntos!G18),'Resol  Asuntos'!D18/NºAsuntos!G18," - ")</f>
        <v>0.18387096774193548</v>
      </c>
      <c r="AO18" s="875">
        <f>IF(ISNUMBER((NºAsuntos!C18+NºAsuntos!E18)/NºAsuntos!G18),(NºAsuntos!C18+NºAsuntos!E18)/NºAsuntos!G18," - ")</f>
        <v>3.7322580645161292</v>
      </c>
      <c r="AP18" s="876" t="str">
        <f t="shared" si="2"/>
        <v xml:space="preserve"> - </v>
      </c>
      <c r="AQ18" s="876">
        <f>IF(ISNUMBER((H18-W18+K18)/(F18)),(H18-W18+K18)/(F18)," - ")</f>
        <v>-0.38701622971285893</v>
      </c>
      <c r="AR18" s="877">
        <f>IF(ISNUMBER((Datos!P18-Datos!Q18)/(Datos!R18-Datos!P18+Datos!Q18)),(Datos!P18-Datos!Q18)/(Datos!R18-Datos!P18+Datos!Q18)," - ")</f>
        <v>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811</v>
      </c>
      <c r="G19" s="820">
        <f t="shared" si="13"/>
        <v>870</v>
      </c>
      <c r="H19" s="819">
        <f t="shared" si="13"/>
        <v>0</v>
      </c>
      <c r="I19" s="821">
        <f t="shared" si="13"/>
        <v>0</v>
      </c>
      <c r="J19" s="821">
        <f t="shared" si="13"/>
        <v>0</v>
      </c>
      <c r="K19" s="880">
        <f t="shared" si="13"/>
        <v>0</v>
      </c>
      <c r="L19" s="821">
        <f t="shared" si="13"/>
        <v>128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313</v>
      </c>
      <c r="X19" s="820">
        <f t="shared" si="14"/>
        <v>20</v>
      </c>
      <c r="Y19" s="827">
        <f t="shared" si="14"/>
        <v>333</v>
      </c>
      <c r="Z19" s="827">
        <f t="shared" si="14"/>
        <v>0</v>
      </c>
      <c r="AA19" s="827">
        <f t="shared" si="14"/>
        <v>858</v>
      </c>
      <c r="AB19" s="827">
        <f t="shared" si="14"/>
        <v>1763</v>
      </c>
      <c r="AC19" s="827">
        <f t="shared" si="14"/>
        <v>913</v>
      </c>
      <c r="AD19" s="827">
        <f t="shared" si="14"/>
        <v>0</v>
      </c>
      <c r="AE19" s="829">
        <f t="shared" si="14"/>
        <v>0</v>
      </c>
      <c r="AF19" s="830">
        <f t="shared" si="14"/>
        <v>0</v>
      </c>
      <c r="AG19" s="831">
        <f t="shared" si="14"/>
        <v>0</v>
      </c>
      <c r="AH19" s="829">
        <f t="shared" si="14"/>
        <v>0</v>
      </c>
      <c r="AI19" s="819">
        <f t="shared" si="14"/>
        <v>118</v>
      </c>
      <c r="AJ19" s="819">
        <f t="shared" si="14"/>
        <v>0</v>
      </c>
      <c r="AK19" s="829">
        <f t="shared" si="14"/>
        <v>0</v>
      </c>
      <c r="AL19" s="883">
        <f>IF(ISNUMBER(NºAsuntos!G19/NºAsuntos!E19),NºAsuntos!G19/NºAsuntos!E19," - ")</f>
        <v>1.2869379014989293</v>
      </c>
      <c r="AM19" s="884">
        <f>IF(ISNUMBER(((NºAsuntos!I19/NºAsuntos!G19)*11)/factor_trimestre),((NºAsuntos!I19/NºAsuntos!G19)*11)/factor_trimestre," - ")</f>
        <v>7.5540765391014979</v>
      </c>
      <c r="AN19" s="884">
        <f>IF(ISNUMBER('Resol  Asuntos'!D19/NºAsuntos!G19),'Resol  Asuntos'!D19/NºAsuntos!G19," - ")</f>
        <v>0.19633943427620631</v>
      </c>
      <c r="AO19" s="885">
        <f>IF(ISNUMBER((NºAsuntos!C19+NºAsuntos!E19)/NºAsuntos!G19),(NºAsuntos!C19+NºAsuntos!E19)/NºAsuntos!G19," - ")</f>
        <v>4.777038269550749</v>
      </c>
      <c r="AP19" s="886" t="str">
        <f t="shared" si="2"/>
        <v xml:space="preserve"> - </v>
      </c>
      <c r="AQ19" s="887">
        <f>IF(OR(ISNUMBER(FIND("01",Criterios!A8,1)),ISNUMBER(FIND("02",Criterios!A8,1)),ISNUMBER(FIND("03",Criterios!A8,1)),ISNUMBER(FIND("04",Criterios!A8,1))),(I19-W19+K19)/(F19-K19),(H19-W19+K19)/(F19-K19))</f>
        <v>-0.38594327990135635</v>
      </c>
      <c r="AR19" s="888">
        <f>IF(ISNUMBER((Datos!P19-Datos!Q19)/(Datos!R19-Datos!P19+Datos!Q19)),(Datos!P19-Datos!Q19)/(Datos!R19-Datos!P19+Datos!Q19)," - ")</f>
        <v>6.5256797583081574E-2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456.68406292899397</v>
      </c>
      <c r="G21" s="252">
        <f>IF(ISNUMBER(STDEV(G8:G18)),STDEV(G8:G18),"-")</f>
        <v>441.40740818432124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154.56454962247975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27.398296784046025</v>
      </c>
      <c r="AJ21" s="251">
        <f t="shared" si="18"/>
        <v>0</v>
      </c>
      <c r="AK21" s="253">
        <f t="shared" si="18"/>
        <v>0</v>
      </c>
      <c r="AL21" s="248">
        <f t="shared" si="18"/>
        <v>0.4247042971971588</v>
      </c>
      <c r="AM21" s="249">
        <f t="shared" si="18"/>
        <v>2.4340410110845077</v>
      </c>
      <c r="AN21" s="249">
        <f t="shared" si="18"/>
        <v>5.7543533376892574E-2</v>
      </c>
      <c r="AO21" s="250">
        <f t="shared" si="18"/>
        <v>1.2170205055422549</v>
      </c>
      <c r="AP21" s="290" t="str">
        <f t="shared" si="18"/>
        <v>-</v>
      </c>
      <c r="AQ21" s="291">
        <f t="shared" si="18"/>
        <v>6.1529766103248958E-2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JAi+JH34TxjntCxj3lByKK913vhw88930fcTM8ztstRkDG70bhDxaOHQG0D2V0JFsMpZr5FH5dWeyjudfEpVA==" saltValue="fs0jwZvo2rXO+C3NdWir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ROTA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0.1111111111111111</v>
      </c>
      <c r="E10" s="347">
        <f>IF(ISNUMBER((Datos!J10-Datos!T10)/Datos!T10),(Datos!J10-Datos!T10)/Datos!T10," - ")</f>
        <v>-0.5</v>
      </c>
      <c r="F10" s="347" t="str">
        <f>IF(ISNUMBER((Datos!K10-Datos!U10)/Datos!U10),(Datos!K10-Datos!U10)/Datos!U10," - ")</f>
        <v xml:space="preserve"> - </v>
      </c>
      <c r="G10" s="348">
        <f>IF(ISNUMBER((Datos!L10-Datos!V10)/Datos!V10),(Datos!L10-Datos!V10)/Datos!V10," - ")</f>
        <v>-0.35294117647058826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-1.6393442622950821E-2</v>
      </c>
      <c r="I12" s="349">
        <f>IF(ISNUMBER((Tasas!C12-Datos!BE12)/Datos!BE12),(Tasas!C12-Datos!BE12)/Datos!BE12," - ")</f>
        <v>-0.1165821632865315</v>
      </c>
      <c r="J12" s="348">
        <f>IF(ISNUMBER((Tasas!D12-Datos!BF12)/Datos!BF12),(Tasas!D12-Datos!BF12)/Datos!BF12," - ")</f>
        <v>-0.55848623853210999</v>
      </c>
      <c r="K12" s="350">
        <f>IF(ISNUMBER((Tasas!E12-Datos!BG12)/Datos!BG12),(Tasas!E12-Datos!BG12)/Datos!BG12," - ")</f>
        <v>-9.8782771535580557E-2</v>
      </c>
      <c r="M12" t="e">
        <f>IF(Monitorios="SI",Datos!CE12,0)</f>
        <v>#REF!</v>
      </c>
      <c r="N12" t="e">
        <f>IF(Monitorios="SI",Datos!CF12,0)</f>
        <v>#REF!</v>
      </c>
      <c r="O12" t="e">
        <f>IF(Monitorios="SI",Datos!CG12,0)</f>
        <v>#REF!</v>
      </c>
      <c r="P12" t="e">
        <f>IF(Monitorios="SI",Datos!CH12,0)</f>
        <v>#REF!</v>
      </c>
      <c r="Q12">
        <f>IF(J_V="SI",0,Datos!AG12)</f>
        <v>32</v>
      </c>
      <c r="R12">
        <f>IF(J_V="SI",0,Datos!AH12)</f>
        <v>9</v>
      </c>
      <c r="S12">
        <f>IF(J_V="SI",0,Datos!AI12)</f>
        <v>9</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-0.13040959342237879</v>
      </c>
      <c r="J13" s="354">
        <f>IF(ISNUMBER((Tasas!D13-Datos!BF13)/Datos!BF13),(Tasas!D13-Datos!BF13)/Datos!BF13," - ")</f>
        <v>-0.55575522557457668</v>
      </c>
      <c r="K13" s="357">
        <f>IF(ISNUMBER((Tasas!E13-Datos!BG13)/Datos!BG13),(Tasas!E13-Datos!BG13)/Datos!BG13," - ")</f>
        <v>-0.11072030186645102</v>
      </c>
      <c r="M13" t="e">
        <f>IF(Monitorios="SI",Datos!CE13,0)</f>
        <v>#REF!</v>
      </c>
      <c r="N13" t="e">
        <f>IF(Monitorios="SI",Datos!CF13,0)</f>
        <v>#REF!</v>
      </c>
      <c r="O13" t="e">
        <f>IF(Monitorios="SI",Datos!CG13,0)</f>
        <v>#REF!</v>
      </c>
      <c r="P13" t="e">
        <f>IF(Monitorios="SI",Datos!CH13,0)</f>
        <v>#REF!</v>
      </c>
      <c r="Q13">
        <f>IF(J_V="SI",0,Datos!AG13)</f>
        <v>32</v>
      </c>
      <c r="R13">
        <f>IF(J_V="SI",0,Datos!AH13)</f>
        <v>9</v>
      </c>
      <c r="S13">
        <f>IF(J_V="SI",0,Datos!AI13)</f>
        <v>9</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0.44584837545126355</v>
      </c>
      <c r="E16" s="347">
        <f>IF(ISNUMBER(
   IF(D_I="SI",(Datos!J16-Datos!T16)/Datos!T16,(Datos!J16+Datos!AD16-(Datos!T16+Datos!AL16))/(Datos!T16+Datos!AL16))
     ),IF(D_I="SI",(Datos!J16-Datos!T16)/Datos!T16,(Datos!J16+Datos!AD16-(Datos!T16+Datos!AL16))/(Datos!T16+Datos!AL16))," - ")</f>
        <v>-0.3324742268041237</v>
      </c>
      <c r="F16" s="347">
        <f>IF(ISNUMBER(
   IF(D_I="SI",(Datos!K16-Datos!U16)/Datos!U16,(Datos!K16+Datos!AE16-(Datos!U16+Datos!AM16))/(Datos!U16+Datos!AM16))
     ),IF(D_I="SI",(Datos!K16-Datos!U16)/Datos!U16,(Datos!K16+Datos!AE16-(Datos!U16+Datos!AM16))/(Datos!U16+Datos!AM16))," - ")</f>
        <v>-6.1016949152542375E-2</v>
      </c>
      <c r="G16" s="348">
        <f>IF(ISNUMBER(
   IF(D_I="SI",(Datos!L16-Datos!V16)/Datos!V16,(Datos!L16+Datos!AF16-(Datos!V16+Datos!AN16))/(Datos!V16+Datos!AN16))
     ),IF(D_I="SI",(Datos!L16-Datos!V16)/Datos!V16,(Datos!L16+Datos!AF16-(Datos!V16+Datos!AN16))/(Datos!V16+Datos!AN16))," - ")</f>
        <v>0.21020092735703247</v>
      </c>
      <c r="H16" s="229">
        <f>IF(ISNUMBER((Datos!M16-Datos!W16)/Datos!W16),(Datos!M16-Datos!W16)/Datos!W16," - ")</f>
        <v>0</v>
      </c>
      <c r="I16" s="349">
        <f>IF(ISNUMBER((Tasas!C16-Datos!BE16)/Datos!BE16),(Tasas!C16-Datos!BE16)/Datos!BE16," - ")</f>
        <v>0.28884214285315751</v>
      </c>
      <c r="J16" s="348">
        <f>IF(ISNUMBER((Tasas!D16-Datos!BF16)/Datos!BF16),(Tasas!D16-Datos!BF16)/Datos!BF16," - ")</f>
        <v>6.4981949458483748E-2</v>
      </c>
      <c r="K16" s="350">
        <f>IF(ISNUMBER((Tasas!E16-Datos!BG16)/Datos!BG16),(Tasas!E16-Datos!BG16)/Datos!BG16," - ")</f>
        <v>0.19838733166241285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1.5652173913043479</v>
      </c>
      <c r="E17" s="347">
        <f>IF(ISNUMBER(
   IF(D_I="SI",(Datos!J17-Datos!T17)/Datos!T17,(Datos!J17+Datos!AD17-(Datos!T17+Datos!AL17))/(Datos!T17+Datos!AL17))
     ),IF(D_I="SI",(Datos!J17-Datos!T17)/Datos!T17,(Datos!J17+Datos!AD17-(Datos!T17+Datos!AL17))/(Datos!T17+Datos!AL17))," - ")</f>
        <v>-0.40625</v>
      </c>
      <c r="F17" s="347">
        <f>IF(ISNUMBER(
   IF(D_I="SI",(Datos!K17-Datos!U17)/Datos!U17,(Datos!K17+Datos!AE17-(Datos!U17+Datos!AM17))/(Datos!U17+Datos!AM17))
     ),IF(D_I="SI",(Datos!K17-Datos!U17)/Datos!U17,(Datos!K17+Datos!AE17-(Datos!U17+Datos!AM17))/(Datos!U17+Datos!AM17))," - ")</f>
        <v>-0.3888888888888889</v>
      </c>
      <c r="G17" s="348">
        <f>IF(ISNUMBER(
   IF(D_I="SI",(Datos!L17-Datos!V17)/Datos!V17,(Datos!L17+Datos!AF17-(Datos!V17+Datos!AN17))/(Datos!V17+Datos!AN17))
     ),IF(D_I="SI",(Datos!L17-Datos!V17)/Datos!V17,(Datos!L17+Datos!AF17-(Datos!V17+Datos!AN17))/(Datos!V17+Datos!AN17))," - ")</f>
        <v>0.93939393939393945</v>
      </c>
      <c r="H17" s="229">
        <f>IF(ISNUMBER((Datos!M17-Datos!W17)/Datos!W17),(Datos!M17-Datos!W17)/Datos!W17," - ")</f>
        <v>1</v>
      </c>
      <c r="I17" s="349">
        <f>IF(ISNUMBER((Tasas!C17-Datos!BE17)/Datos!BE17),(Tasas!C17-Datos!BE17)/Datos!BE17," - ")</f>
        <v>2.1735537190082641</v>
      </c>
      <c r="J17" s="348">
        <f>IF(ISNUMBER((Tasas!D17-Datos!BF17)/Datos!BF17),(Tasas!D17-Datos!BF17)/Datos!BF17," - ")</f>
        <v>2.2727272727272729</v>
      </c>
      <c r="K17" s="350">
        <f>IF(ISNUMBER((Tasas!E17-Datos!BG17)/Datos!BG17),(Tasas!E17-Datos!BG17)/Datos!BG17," - ")</f>
        <v>0.82445141065830718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0.49046793760831892</v>
      </c>
      <c r="E18" s="353">
        <f>IF(ISNUMBER(
   IF(D_I="SI",(Datos!J18-Datos!T18)/Datos!T18,(Datos!J18+Datos!AD18-(Datos!T18+Datos!AL18))/(Datos!T18+Datos!AL18))
     ),IF(D_I="SI",(Datos!J18-Datos!T18)/Datos!T18,(Datos!J18+Datos!AD18-(Datos!T18+Datos!AL18))/(Datos!T18+Datos!AL18))," - ")</f>
        <v>-0.34292035398230086</v>
      </c>
      <c r="F18" s="353">
        <f>IF(ISNUMBER(
   IF(D_I="SI",(Datos!K18-Datos!U18)/Datos!U18,(Datos!K18+Datos!AE18-(Datos!U18+Datos!AM18))/(Datos!U18+Datos!AM18))
     ),IF(D_I="SI",(Datos!K18-Datos!U18)/Datos!U18,(Datos!K18+Datos!AE18-(Datos!U18+Datos!AM18))/(Datos!U18+Datos!AM18))," - ")</f>
        <v>-0.11174785100286533</v>
      </c>
      <c r="G18" s="354">
        <f>IF(ISNUMBER(
   IF(D_I="SI",(Datos!L18-Datos!V18)/Datos!V18,(Datos!L18+Datos!AF18-(Datos!V18+Datos!AN18))/(Datos!V18+Datos!AN18))
     ),IF(D_I="SI",(Datos!L18-Datos!V18)/Datos!V18,(Datos!L18+Datos!AF18-(Datos!V18+Datos!AN18))/(Datos!V18+Datos!AN18))," - ")</f>
        <v>0.24558823529411763</v>
      </c>
      <c r="H18" s="355">
        <f>IF(ISNUMBER((Datos!M18-Datos!W18)/Datos!W18),(Datos!M18-Datos!W18)/Datos!W18," - ")</f>
        <v>7.5471698113207544E-2</v>
      </c>
      <c r="I18" s="356">
        <f>IF(ISNUMBER((Tasas!C18-Datos!BE18)/Datos!BE18),(Tasas!C18-Datos!BE18)/Datos!BE18," - ")</f>
        <v>0.40229127134724857</v>
      </c>
      <c r="J18" s="354">
        <f>IF(ISNUMBER((Tasas!D18-Datos!BF18)/Datos!BF18),(Tasas!D18-Datos!BF18)/Datos!BF18," - ")</f>
        <v>0.21077297626293362</v>
      </c>
      <c r="K18" s="357">
        <f>IF(ISNUMBER((Tasas!E18-Datos!BG18)/Datos!BG18),(Tasas!E18-Datos!BG18)/Datos!BG18," - ")</f>
        <v>0.26584845919934796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0.35208098987626546</v>
      </c>
      <c r="E19" s="362">
        <f>IF(ISNUMBER(
   IF(J_V="SI",(Datos!J19-Datos!T19)/Datos!T19,(Datos!J19+Datos!Z19-(Datos!T19+Datos!AH19))/(Datos!T19+Datos!AH19))
     ),IF(J_V="SI",(Datos!J19-Datos!T19)/Datos!T19,(Datos!J19+Datos!Z19-(Datos!T19+Datos!AH19))/(Datos!T19+Datos!AH19))," - ")</f>
        <v>-0.40204865556978231</v>
      </c>
      <c r="F19" s="362">
        <f>IF(ISNUMBER(
   IF(J_V="SI",(Datos!K19-Datos!U19)/Datos!U19,(Datos!K19+Datos!AA19-(Datos!U19+Datos!AI19))/(Datos!U19+Datos!AI19))
     ),IF(J_V="SI",(Datos!K19-Datos!U19)/Datos!U19,(Datos!K19+Datos!AA19-(Datos!U19+Datos!AI19))/(Datos!U19+Datos!AI19))," - ")</f>
        <v>3.6206896551724141E-2</v>
      </c>
      <c r="G19" s="363">
        <f>IF(ISNUMBER(
   IF(J_V="SI",(Datos!L19-Datos!V19)/Datos!V19,(Datos!L19+Datos!AB19-(Datos!V19+Datos!AJ19))/(Datos!V19+Datos!AJ19))
     ),IF(J_V="SI",(Datos!L19-Datos!V19)/Datos!V19,(Datos!L19+Datos!AB19-(Datos!V19+Datos!AJ19))/(Datos!V19+Datos!AJ19))," - ")</f>
        <v>0.14704396159676605</v>
      </c>
      <c r="H19" s="364">
        <f>IF(ISNUMBER((Datos!M19-Datos!W19)/Datos!W19),(Datos!M19-Datos!W19)/Datos!W19," - ")</f>
        <v>3.5087719298245612E-2</v>
      </c>
      <c r="I19" s="361">
        <f>IF(ISNUMBER((Tasas!C19-Datos!BE19)/Datos!BE19),(Tasas!C19-Datos!BE19)/Datos!BE19," - ")</f>
        <v>0.10696422250603052</v>
      </c>
      <c r="J19" s="362">
        <f>IF(ISNUMBER((Tasas!D19-Datos!BF19)/Datos!BF19),(Tasas!D19-Datos!BF19)/Datos!BF19," - ")</f>
        <v>-0.29705634641852063</v>
      </c>
      <c r="K19" s="363">
        <f>IF(ISNUMBER((Tasas!E19-Datos!BG19)/Datos!BG19),(Tasas!E19-Datos!BG19)/Datos!BG19," - ")</f>
        <v>8.2720670707086413E-2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0.63116624851964043</v>
      </c>
      <c r="E21" s="277">
        <f t="shared" si="1"/>
        <v>7.6968929189165231E-2</v>
      </c>
      <c r="F21" s="277">
        <f t="shared" si="1"/>
        <v>0.17648455463560353</v>
      </c>
      <c r="G21" s="278">
        <f t="shared" si="1"/>
        <v>0.52913747449310744</v>
      </c>
      <c r="H21" s="284">
        <f t="shared" si="1"/>
        <v>0.44205072444422766</v>
      </c>
      <c r="I21" s="276">
        <f t="shared" si="1"/>
        <v>0.95259331116803958</v>
      </c>
      <c r="J21" s="277">
        <f t="shared" si="1"/>
        <v>1.1643988373889038</v>
      </c>
      <c r="K21" s="278">
        <f t="shared" si="1"/>
        <v>0.38040846792643296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SnyWeoNzM3FXH5TI/6g6j8SfY0Po6upm6fBG6lpQZl/6axmWEib3Jb/NvY/OxgHTk5jhRYcBwBzjAkFva9WSw==" saltValue="AqTfLM93gNb6o7ZRzAe1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